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07"/>
  <workbookPr/>
  <mc:AlternateContent xmlns:mc="http://schemas.openxmlformats.org/markup-compatibility/2006">
    <mc:Choice Requires="x15">
      <x15ac:absPath xmlns:x15ac="http://schemas.microsoft.com/office/spreadsheetml/2010/11/ac" url="/Users/annekinzel-pgc/Downloads/"/>
    </mc:Choice>
  </mc:AlternateContent>
  <xr:revisionPtr revIDLastSave="0" documentId="8_{A6509ECE-EBE8-1B4C-896A-034B3BF2C8CE}" xr6:coauthVersionLast="47" xr6:coauthVersionMax="47" xr10:uidLastSave="{00000000-0000-0000-0000-000000000000}"/>
  <bookViews>
    <workbookView xWindow="9000" yWindow="1320" windowWidth="29740" windowHeight="21400" activeTab="1" xr2:uid="{02862B29-3DF4-460B-9D0F-0007AA9082FF}"/>
  </bookViews>
  <sheets>
    <sheet name="Summary" sheetId="16" r:id="rId1"/>
    <sheet name="Example option" sheetId="30" r:id="rId2"/>
  </sheets>
  <definedNames>
    <definedName name="_AMO_UniqueIdentifier" hidden="1">"'f4d3b019-6e41-489f-821e-2ffd85d56edd'"</definedName>
    <definedName name="bales" localSheetId="1">'Example option'!#REF!</definedName>
    <definedName name="bales">#REF!</definedName>
    <definedName name="_xlnm.Print_Area" localSheetId="1">'Example option'!$A$1:$Q$93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0" i="30" l="1"/>
  <c r="O60" i="30"/>
  <c r="F60" i="30"/>
  <c r="E60" i="30" l="1"/>
  <c r="D60" i="30"/>
  <c r="F18" i="30"/>
  <c r="F70" i="30"/>
  <c r="H32" i="30" l="1"/>
  <c r="F66" i="30" l="1"/>
  <c r="R65" i="30"/>
  <c r="F65" i="30"/>
  <c r="O65" i="30"/>
  <c r="E46" i="30"/>
  <c r="F46" i="30" s="1"/>
  <c r="F45" i="30"/>
  <c r="F47" i="30"/>
  <c r="Q38" i="30"/>
  <c r="P38" i="30"/>
  <c r="P18" i="30"/>
  <c r="Q18" i="30"/>
  <c r="N18" i="30"/>
  <c r="M18" i="30"/>
  <c r="F69" i="30" l="1"/>
  <c r="I28" i="30"/>
  <c r="R66" i="30" l="1"/>
  <c r="O66" i="30"/>
  <c r="L66" i="30"/>
  <c r="L65" i="30"/>
  <c r="I66" i="30"/>
  <c r="I65" i="30"/>
  <c r="G51" i="30"/>
  <c r="J51" i="30" s="1"/>
  <c r="M51" i="30" s="1"/>
  <c r="P51" i="30" s="1"/>
  <c r="H51" i="30"/>
  <c r="K51" i="30" s="1"/>
  <c r="N51" i="30" s="1"/>
  <c r="Q51" i="30" s="1"/>
  <c r="G52" i="30"/>
  <c r="J52" i="30" s="1"/>
  <c r="M52" i="30" s="1"/>
  <c r="P52" i="30" s="1"/>
  <c r="H52" i="30"/>
  <c r="K52" i="30" s="1"/>
  <c r="N52" i="30" s="1"/>
  <c r="Q52" i="30" s="1"/>
  <c r="G53" i="30"/>
  <c r="H53" i="30"/>
  <c r="K53" i="30" s="1"/>
  <c r="H50" i="30"/>
  <c r="K50" i="30" s="1"/>
  <c r="N50" i="30" s="1"/>
  <c r="Q50" i="30" s="1"/>
  <c r="G50" i="30"/>
  <c r="J50" i="30" s="1"/>
  <c r="M50" i="30" s="1"/>
  <c r="P50" i="30" s="1"/>
  <c r="F53" i="30"/>
  <c r="G44" i="30"/>
  <c r="J44" i="30" s="1"/>
  <c r="M44" i="30" s="1"/>
  <c r="P44" i="30" s="1"/>
  <c r="R44" i="30" s="1"/>
  <c r="H44" i="30"/>
  <c r="K44" i="30" s="1"/>
  <c r="N44" i="30" s="1"/>
  <c r="Q44" i="30" s="1"/>
  <c r="G45" i="30"/>
  <c r="H45" i="30"/>
  <c r="K45" i="30" s="1"/>
  <c r="N45" i="30" s="1"/>
  <c r="Q45" i="30" s="1"/>
  <c r="G46" i="30"/>
  <c r="J46" i="30" s="1"/>
  <c r="G47" i="30"/>
  <c r="H47" i="30"/>
  <c r="K47" i="30" s="1"/>
  <c r="H43" i="30"/>
  <c r="K43" i="30" s="1"/>
  <c r="N43" i="30" s="1"/>
  <c r="Q43" i="30" s="1"/>
  <c r="G43" i="30"/>
  <c r="J47" i="30" l="1"/>
  <c r="I47" i="30"/>
  <c r="J45" i="30"/>
  <c r="L45" i="30" s="1"/>
  <c r="I45" i="30"/>
  <c r="J53" i="30"/>
  <c r="I53" i="30"/>
  <c r="J43" i="30"/>
  <c r="I43" i="30"/>
  <c r="I69" i="30"/>
  <c r="L69" i="30"/>
  <c r="R69" i="30"/>
  <c r="O69" i="30"/>
  <c r="N47" i="30"/>
  <c r="N53" i="30"/>
  <c r="Q53" i="30" s="1"/>
  <c r="M46" i="30"/>
  <c r="H46" i="30"/>
  <c r="I46" i="30" s="1"/>
  <c r="M47" i="30" l="1"/>
  <c r="L47" i="30"/>
  <c r="M45" i="30"/>
  <c r="O45" i="30" s="1"/>
  <c r="M53" i="30"/>
  <c r="L53" i="30"/>
  <c r="M43" i="30"/>
  <c r="P43" i="30" s="1"/>
  <c r="R43" i="30" s="1"/>
  <c r="L43" i="30"/>
  <c r="P46" i="30"/>
  <c r="Q47" i="30"/>
  <c r="K46" i="30"/>
  <c r="L46" i="30" s="1"/>
  <c r="P47" i="30" l="1"/>
  <c r="R47" i="30" s="1"/>
  <c r="O47" i="30"/>
  <c r="P45" i="30"/>
  <c r="R45" i="30" s="1"/>
  <c r="O53" i="30"/>
  <c r="P53" i="30"/>
  <c r="R53" i="30" s="1"/>
  <c r="N46" i="30"/>
  <c r="O46" i="30" s="1"/>
  <c r="Q46" i="30" l="1"/>
  <c r="R46" i="30" s="1"/>
  <c r="R28" i="30" l="1"/>
  <c r="Q27" i="30"/>
  <c r="R27" i="30" s="1"/>
  <c r="Q26" i="30"/>
  <c r="R26" i="30" s="1"/>
  <c r="R25" i="30"/>
  <c r="Q24" i="30"/>
  <c r="R24" i="30" s="1"/>
  <c r="Q23" i="30"/>
  <c r="R23" i="30" s="1"/>
  <c r="Q22" i="30"/>
  <c r="R22" i="30" s="1"/>
  <c r="Q21" i="30"/>
  <c r="R21" i="30" s="1"/>
  <c r="Q20" i="30"/>
  <c r="R20" i="30" s="1"/>
  <c r="R18" i="30"/>
  <c r="O28" i="30"/>
  <c r="N27" i="30"/>
  <c r="O27" i="30" s="1"/>
  <c r="N26" i="30"/>
  <c r="O26" i="30" s="1"/>
  <c r="O25" i="30"/>
  <c r="N24" i="30"/>
  <c r="O24" i="30" s="1"/>
  <c r="N23" i="30"/>
  <c r="O23" i="30" s="1"/>
  <c r="N22" i="30"/>
  <c r="O22" i="30" s="1"/>
  <c r="N21" i="30"/>
  <c r="O21" i="30" s="1"/>
  <c r="N20" i="30"/>
  <c r="O20" i="30" s="1"/>
  <c r="O18" i="30"/>
  <c r="L28" i="30"/>
  <c r="K27" i="30"/>
  <c r="L27" i="30" s="1"/>
  <c r="K26" i="30"/>
  <c r="L26" i="30" s="1"/>
  <c r="K25" i="30"/>
  <c r="L25" i="30" s="1"/>
  <c r="K24" i="30"/>
  <c r="L24" i="30" s="1"/>
  <c r="K23" i="30"/>
  <c r="L23" i="30" s="1"/>
  <c r="K22" i="30"/>
  <c r="L22" i="30" s="1"/>
  <c r="K21" i="30"/>
  <c r="L21" i="30" s="1"/>
  <c r="K20" i="30"/>
  <c r="L20" i="30" s="1"/>
  <c r="L18" i="30"/>
  <c r="H27" i="30"/>
  <c r="I27" i="30" s="1"/>
  <c r="H26" i="30"/>
  <c r="I26" i="30" s="1"/>
  <c r="H25" i="30"/>
  <c r="I25" i="30" s="1"/>
  <c r="H24" i="30"/>
  <c r="I24" i="30" s="1"/>
  <c r="H23" i="30"/>
  <c r="I23" i="30" s="1"/>
  <c r="H22" i="30"/>
  <c r="I22" i="30" s="1"/>
  <c r="H21" i="30"/>
  <c r="I21" i="30" s="1"/>
  <c r="H20" i="30"/>
  <c r="I20" i="30" s="1"/>
  <c r="I18" i="30"/>
  <c r="F28" i="30"/>
  <c r="E27" i="30"/>
  <c r="F27" i="30" s="1"/>
  <c r="E26" i="30"/>
  <c r="F26" i="30" s="1"/>
  <c r="F25" i="30"/>
  <c r="E24" i="30"/>
  <c r="F24" i="30" s="1"/>
  <c r="E23" i="30"/>
  <c r="F23" i="30" s="1"/>
  <c r="E22" i="30"/>
  <c r="F22" i="30" s="1"/>
  <c r="E21" i="30"/>
  <c r="F21" i="30" s="1"/>
  <c r="E20" i="30"/>
  <c r="F20" i="30" s="1"/>
  <c r="R56" i="30"/>
  <c r="O56" i="30"/>
  <c r="L56" i="30"/>
  <c r="I56" i="30"/>
  <c r="F56" i="30"/>
  <c r="R55" i="30"/>
  <c r="P60" i="30" s="1"/>
  <c r="O55" i="30"/>
  <c r="M60" i="30" s="1"/>
  <c r="L55" i="30"/>
  <c r="J60" i="30" s="1"/>
  <c r="I55" i="30"/>
  <c r="G60" i="30" s="1"/>
  <c r="F55" i="30"/>
  <c r="R52" i="30"/>
  <c r="O52" i="30"/>
  <c r="L52" i="30"/>
  <c r="I52" i="30"/>
  <c r="F52" i="30"/>
  <c r="R51" i="30"/>
  <c r="O51" i="30"/>
  <c r="L51" i="30"/>
  <c r="I51" i="30"/>
  <c r="F51" i="30"/>
  <c r="R50" i="30"/>
  <c r="O50" i="30"/>
  <c r="L50" i="30"/>
  <c r="I50" i="30"/>
  <c r="F50" i="30"/>
  <c r="O44" i="30"/>
  <c r="L44" i="30"/>
  <c r="I44" i="30"/>
  <c r="F44" i="30"/>
  <c r="O43" i="30"/>
  <c r="F43" i="30"/>
  <c r="O39" i="30"/>
  <c r="R38" i="30"/>
  <c r="O38" i="30"/>
  <c r="L36" i="30"/>
  <c r="L35" i="30"/>
  <c r="L34" i="30"/>
  <c r="K32" i="30"/>
  <c r="L32" i="30" s="1"/>
  <c r="L33" i="30"/>
  <c r="I32" i="30"/>
  <c r="I33" i="30"/>
  <c r="I29" i="30" l="1"/>
  <c r="I60" i="30" s="1"/>
  <c r="F29" i="30"/>
  <c r="R39" i="30"/>
  <c r="L29" i="30"/>
  <c r="O29" i="30"/>
  <c r="R29" i="30"/>
  <c r="R60" i="30" l="1"/>
  <c r="R70" i="30" s="1"/>
  <c r="D13" i="16" s="1"/>
  <c r="H60" i="30"/>
  <c r="H70" i="30" s="1"/>
  <c r="Q60" i="30"/>
  <c r="Q70" i="30" s="1"/>
  <c r="E70" i="30"/>
  <c r="K60" i="30"/>
  <c r="K70" i="30" s="1"/>
  <c r="D7" i="16"/>
  <c r="B7" i="16"/>
  <c r="N60" i="30"/>
  <c r="N70" i="30" s="1"/>
  <c r="B12" i="16"/>
  <c r="L70" i="30"/>
  <c r="D12" i="16" s="1"/>
  <c r="B9" i="16"/>
  <c r="I70" i="30"/>
  <c r="D9" i="16" s="1"/>
  <c r="B10" i="16"/>
  <c r="O70" i="30"/>
  <c r="D10" i="16" s="1"/>
  <c r="I61" i="30"/>
  <c r="L61" i="30"/>
  <c r="O61" i="30"/>
  <c r="C12" i="16" l="1"/>
  <c r="R61" i="30"/>
  <c r="B13" i="16"/>
  <c r="C13" i="16" s="1"/>
  <c r="E13" i="16"/>
  <c r="E12" i="16"/>
  <c r="E10" i="16"/>
  <c r="E9" i="16"/>
  <c r="C10" i="16"/>
  <c r="C9" i="16"/>
</calcChain>
</file>

<file path=xl/sharedStrings.xml><?xml version="1.0" encoding="utf-8"?>
<sst xmlns="http://schemas.openxmlformats.org/spreadsheetml/2006/main" count="181" uniqueCount="99">
  <si>
    <t xml:space="preserve"> </t>
  </si>
  <si>
    <t>Combine</t>
  </si>
  <si>
    <t>Grain cart</t>
  </si>
  <si>
    <t>Haul</t>
  </si>
  <si>
    <t>Handle (auger)</t>
  </si>
  <si>
    <t>Crop insurance</t>
  </si>
  <si>
    <t>Spring</t>
  </si>
  <si>
    <t>Fall</t>
  </si>
  <si>
    <t>Rake</t>
  </si>
  <si>
    <t>No interyear variations</t>
  </si>
  <si>
    <t>Round baler</t>
  </si>
  <si>
    <t>Labor</t>
  </si>
  <si>
    <t>Land</t>
  </si>
  <si>
    <t>Fixed</t>
  </si>
  <si>
    <t>Variable</t>
  </si>
  <si>
    <t>Herbicide</t>
  </si>
  <si>
    <t>Insecticide</t>
  </si>
  <si>
    <t>Cash rent equivalent</t>
  </si>
  <si>
    <t>Chop stalks</t>
  </si>
  <si>
    <t>Post-harvest</t>
  </si>
  <si>
    <t>Corn harvest</t>
  </si>
  <si>
    <t>Pre-harvest machinery</t>
  </si>
  <si>
    <t>Comments</t>
  </si>
  <si>
    <t>Cost/year</t>
  </si>
  <si>
    <t>-</t>
  </si>
  <si>
    <t>Strip tiller (x2)</t>
  </si>
  <si>
    <t>Cropping System</t>
  </si>
  <si>
    <t>per pound</t>
  </si>
  <si>
    <t>Tandem disk</t>
  </si>
  <si>
    <t>Enter your input values in the unprotected, shaded cells.</t>
  </si>
  <si>
    <t>Ag Decision Maker File A#-##</t>
  </si>
  <si>
    <t>Authors: Cynthia A. Bartel, Keri L. Jacobs, Kenneth J. Moore, D. Raj Raman</t>
  </si>
  <si>
    <t>Activity and Purpose</t>
  </si>
  <si>
    <t>Total cost per acre</t>
  </si>
  <si>
    <t>Corn seed</t>
  </si>
  <si>
    <t>Nitrogen</t>
  </si>
  <si>
    <t>Phosphate</t>
  </si>
  <si>
    <t>Potash</t>
  </si>
  <si>
    <t>Lime</t>
  </si>
  <si>
    <t>(yearly cost)</t>
  </si>
  <si>
    <t>per 1000 kernels</t>
  </si>
  <si>
    <t>Miscellaneous</t>
  </si>
  <si>
    <t>Grass seed</t>
  </si>
  <si>
    <t>No-till drill</t>
  </si>
  <si>
    <t>Field cultivator for grass establishment</t>
  </si>
  <si>
    <t>Harrow</t>
  </si>
  <si>
    <t>Grass establishment (Year 1)</t>
  </si>
  <si>
    <t>Grass suppression (year 2, additional herbicide)</t>
  </si>
  <si>
    <t>Strip tillage w/ fertilizer application</t>
  </si>
  <si>
    <t>per acre</t>
  </si>
  <si>
    <t>per hour</t>
  </si>
  <si>
    <t>Comparison of Perennial Groundcover (PGC) System to Continuous Corn Rotation</t>
  </si>
  <si>
    <r>
      <rPr>
        <b/>
        <sz val="11"/>
        <rFont val="Arial"/>
        <family val="2"/>
      </rPr>
      <t>PGC - Year 1</t>
    </r>
    <r>
      <rPr>
        <sz val="11"/>
        <rFont val="Arial"/>
        <family val="2"/>
      </rPr>
      <t xml:space="preserve"> | Optimistic</t>
    </r>
  </si>
  <si>
    <r>
      <rPr>
        <b/>
        <sz val="11"/>
        <rFont val="Arial"/>
        <family val="2"/>
      </rPr>
      <t>PGC - Year 1</t>
    </r>
    <r>
      <rPr>
        <sz val="11"/>
        <rFont val="Arial"/>
        <family val="2"/>
      </rPr>
      <t xml:space="preserve"> | Pessimistic</t>
    </r>
  </si>
  <si>
    <r>
      <rPr>
        <b/>
        <sz val="11"/>
        <rFont val="Arial"/>
        <family val="2"/>
      </rPr>
      <t>PGC - Year 2</t>
    </r>
    <r>
      <rPr>
        <sz val="11"/>
        <rFont val="Arial"/>
        <family val="2"/>
      </rPr>
      <t xml:space="preserve"> | Optimistic</t>
    </r>
  </si>
  <si>
    <r>
      <rPr>
        <b/>
        <sz val="11"/>
        <rFont val="Arial"/>
        <family val="2"/>
      </rPr>
      <t>PGC - Year 2</t>
    </r>
    <r>
      <rPr>
        <sz val="11"/>
        <rFont val="Arial"/>
        <family val="2"/>
      </rPr>
      <t xml:space="preserve"> | Pessimistic</t>
    </r>
  </si>
  <si>
    <t>Continuous corn production</t>
  </si>
  <si>
    <t xml:space="preserve">PGC - Year 1 (optimistic)                                                </t>
  </si>
  <si>
    <t>PGC - Year 2+ (optimistic)</t>
  </si>
  <si>
    <t>PGC - Year 1 (pessimistic)</t>
  </si>
  <si>
    <t>PGC - Year 2+ (pessimistic)</t>
  </si>
  <si>
    <t>Under a pessimistic scenario in year 1, additional soil work &amp; a greater grass seeding rate is needed vs. the optimistic scenario.</t>
  </si>
  <si>
    <t>Continuous Corn</t>
  </si>
  <si>
    <t xml:space="preserve">Corn seed bed preparation </t>
  </si>
  <si>
    <t>Grass suppression (Year 2+)</t>
  </si>
  <si>
    <t>months</t>
  </si>
  <si>
    <t>Interest on preharvest variable costs</t>
  </si>
  <si>
    <t>APR</t>
  </si>
  <si>
    <t>per bushel</t>
  </si>
  <si>
    <t>per ton</t>
  </si>
  <si>
    <t>Expected selling price, corn bushels per acre</t>
  </si>
  <si>
    <t>Expected selling price, stover tons per acre</t>
  </si>
  <si>
    <t>Corn yield, bushels per acre</t>
  </si>
  <si>
    <t>Comparison of Perennial Groundcover (PGC) System to Continuous Corn Rotation, per acre</t>
  </si>
  <si>
    <t>tons/acre</t>
  </si>
  <si>
    <t>bushels/acre</t>
  </si>
  <si>
    <t>LP Gas per gallon</t>
  </si>
  <si>
    <t>Dry</t>
  </si>
  <si>
    <t>Haul large round bales per ton</t>
  </si>
  <si>
    <t>Seed, Chemical, etc. per acre</t>
  </si>
  <si>
    <t>Corn stover removal per acre</t>
  </si>
  <si>
    <t>Expected yield per acre</t>
  </si>
  <si>
    <t>Return per Acre</t>
  </si>
  <si>
    <t>Comparison to continuous corn</t>
  </si>
  <si>
    <t>Total return per acre</t>
  </si>
  <si>
    <t>Return over variable costs</t>
  </si>
  <si>
    <t>USDA payments (may vary by rotation), per acre</t>
  </si>
  <si>
    <t>Crop insurance rebate, per acre</t>
  </si>
  <si>
    <t>Cost/year, difference from Continuous Corn</t>
  </si>
  <si>
    <t>Corn stover harvest, tons per acre</t>
  </si>
  <si>
    <t>Net return per acre</t>
  </si>
  <si>
    <t>Net return per acre, Difference from Continuous Corn</t>
  </si>
  <si>
    <t>Under a pessimistic scenario in year 2, etc., an additional strip tillage pass and more expensive suppression chemicals are needed vs. the optimistic scenario, with delayed chemical suppression.</t>
  </si>
  <si>
    <t>Assumptions: 204 bu./acre Iowa average</t>
  </si>
  <si>
    <t>Source: Estimated Costs of Crop Production in Iowa - 2024 (File A1-20)</t>
  </si>
  <si>
    <t xml:space="preserve">For additional information, see Expected Costs of a Perennial Groundcover (PGC) System with Corn Production in the Midwest </t>
  </si>
  <si>
    <t>Revenue</t>
  </si>
  <si>
    <t>Revenue per acre</t>
  </si>
  <si>
    <t>Cost per acre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</si>
</sst>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7" formatCode="&quot;$&quot;#,##0.00_);\(&quot;$&quot;#,##0.00\)"/>
    <numFmt numFmtId="44" formatCode="_(&quot;$&quot;* #,##0.00_);_(&quot;$&quot;* \(#,##0.00\);_(&quot;$&quot;* &quot;-&quot;??_);_(@_)"/>
    <numFmt numFmtId="43" formatCode="_(* #,##0.00_);_(* \(#,##0.00\);_(* &quot;-&quot;??_);_(@_)"/>
    <numFmt numFmtId="164" formatCode="&quot;$&quot;#,##0.00"/>
    <numFmt numFmtId="165" formatCode="&quot;$&quot;#,##0"/>
    <numFmt numFmtId="166" formatCode="General_)"/>
    <numFmt numFmtId="167" formatCode="0.0%"/>
    <numFmt numFmtId="168" formatCode="&quot;$&quot;#,##0.0"/>
  </numFmts>
  <fonts count="33" x14ac:knownFonts="1">
    <font>
      <sz val="11"/>
      <color theme="1"/>
      <name val="Calibri"/>
      <family val="2"/>
      <scheme val="minor"/>
    </font>
    <font>
      <sz val="11"/>
      <color theme="1"/>
      <name val="Arial"/>
      <family val="2"/>
    </font>
    <font>
      <sz val="11"/>
      <color theme="1"/>
      <name val="Calibri"/>
      <family val="2"/>
      <scheme val="minor"/>
    </font>
    <font>
      <b/>
      <sz val="11"/>
      <color theme="1"/>
      <name val="Arial"/>
      <family val="2"/>
    </font>
    <font>
      <sz val="10"/>
      <color theme="1"/>
      <name val="Arial"/>
      <family val="2"/>
    </font>
    <font>
      <i/>
      <sz val="10"/>
      <color theme="1"/>
      <name val="Arial"/>
      <family val="2"/>
    </font>
    <font>
      <b/>
      <sz val="10"/>
      <color theme="1"/>
      <name val="Arial"/>
      <family val="2"/>
    </font>
    <font>
      <sz val="10"/>
      <name val="Arial"/>
      <family val="2"/>
    </font>
    <font>
      <b/>
      <sz val="16"/>
      <color indexed="9"/>
      <name val="Arial"/>
      <family val="2"/>
    </font>
    <font>
      <b/>
      <sz val="14"/>
      <color indexed="9"/>
      <name val="Arial"/>
      <family val="2"/>
    </font>
    <font>
      <b/>
      <sz val="10"/>
      <color indexed="9"/>
      <name val="Arial"/>
      <family val="2"/>
    </font>
    <font>
      <b/>
      <sz val="12"/>
      <color indexed="63"/>
      <name val="Arial"/>
      <family val="2"/>
    </font>
    <font>
      <b/>
      <sz val="10"/>
      <name val="Arial"/>
      <family val="2"/>
    </font>
    <font>
      <u/>
      <sz val="10"/>
      <color indexed="12"/>
      <name val="Arial"/>
      <family val="2"/>
    </font>
    <font>
      <u/>
      <sz val="10"/>
      <color indexed="45"/>
      <name val="Arial"/>
      <family val="2"/>
    </font>
    <font>
      <sz val="9"/>
      <name val="Arial"/>
      <family val="2"/>
    </font>
    <font>
      <i/>
      <sz val="10"/>
      <name val="Arial"/>
      <family val="2"/>
    </font>
    <font>
      <b/>
      <sz val="11"/>
      <name val="Arial"/>
      <family val="2"/>
    </font>
    <font>
      <u/>
      <sz val="10"/>
      <color rgb="FFC00000"/>
      <name val="Arial"/>
      <family val="2"/>
    </font>
    <font>
      <sz val="10"/>
      <color rgb="FFC00000"/>
      <name val="Arial"/>
      <family val="2"/>
    </font>
    <font>
      <sz val="10"/>
      <color indexed="63"/>
      <name val="Arial"/>
      <family val="2"/>
    </font>
    <font>
      <sz val="6"/>
      <color indexed="63"/>
      <name val="Arial"/>
      <family val="2"/>
    </font>
    <font>
      <sz val="7"/>
      <name val="Arial"/>
      <family val="2"/>
    </font>
    <font>
      <sz val="10"/>
      <color theme="1"/>
      <name val="Calibri"/>
      <family val="2"/>
      <scheme val="minor"/>
    </font>
    <font>
      <sz val="11"/>
      <name val="Arial"/>
      <family val="2"/>
    </font>
    <font>
      <i/>
      <sz val="9"/>
      <name val="Arial"/>
      <family val="2"/>
    </font>
    <font>
      <sz val="10"/>
      <color rgb="FF000000"/>
      <name val="Arial"/>
      <family val="2"/>
    </font>
    <font>
      <sz val="10"/>
      <color rgb="FF202124"/>
      <name val="Arial"/>
      <family val="2"/>
    </font>
    <font>
      <sz val="11"/>
      <color rgb="FF000000"/>
      <name val="Arial"/>
      <family val="2"/>
    </font>
    <font>
      <sz val="10"/>
      <name val="Arial"/>
      <family val="2"/>
    </font>
    <font>
      <u/>
      <sz val="10"/>
      <name val="Arial"/>
      <family val="2"/>
    </font>
    <font>
      <sz val="10"/>
      <color rgb="FF000000"/>
      <name val="Times New Roman"/>
      <family val="1"/>
    </font>
    <font>
      <sz val="10"/>
      <color theme="1"/>
      <name val="Avenir Next LT Pro"/>
      <family val="2"/>
    </font>
  </fonts>
  <fills count="10">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C00000"/>
        <bgColor indexed="64"/>
      </patternFill>
    </fill>
    <fill>
      <patternFill patternType="solid">
        <fgColor indexed="26"/>
        <bgColor indexed="64"/>
      </patternFill>
    </fill>
    <fill>
      <patternFill patternType="solid">
        <fgColor theme="0" tint="-0.14999847407452621"/>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ck">
        <color theme="0" tint="-0.14996795556505021"/>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s>
  <cellStyleXfs count="9">
    <xf numFmtId="0" fontId="0" fillId="0" borderId="0"/>
    <xf numFmtId="44" fontId="2" fillId="0" borderId="0" applyFont="0" applyFill="0" applyBorder="0" applyAlignment="0" applyProtection="0"/>
    <xf numFmtId="9" fontId="2" fillId="0" borderId="0" applyFont="0" applyFill="0" applyBorder="0" applyAlignment="0" applyProtection="0"/>
    <xf numFmtId="0" fontId="7" fillId="0" borderId="0"/>
    <xf numFmtId="0" fontId="13" fillId="0" borderId="0" applyNumberFormat="0" applyFill="0" applyBorder="0" applyAlignment="0" applyProtection="0">
      <alignment vertical="top"/>
      <protection locked="0"/>
    </xf>
    <xf numFmtId="43"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0" fontId="29" fillId="0" borderId="0"/>
  </cellStyleXfs>
  <cellXfs count="200">
    <xf numFmtId="0" fontId="0" fillId="0" borderId="0" xfId="0"/>
    <xf numFmtId="0" fontId="4" fillId="0" borderId="0" xfId="0" applyFont="1"/>
    <xf numFmtId="0" fontId="4" fillId="0" borderId="0" xfId="0" applyFont="1" applyAlignment="1">
      <alignment horizontal="right"/>
    </xf>
    <xf numFmtId="164" fontId="4" fillId="0" borderId="5" xfId="0" applyNumberFormat="1" applyFont="1" applyBorder="1" applyAlignment="1">
      <alignment horizontal="right" vertical="top" wrapText="1"/>
    </xf>
    <xf numFmtId="0" fontId="4" fillId="0" borderId="0" xfId="0" applyFont="1" applyAlignment="1">
      <alignment vertical="top"/>
    </xf>
    <xf numFmtId="164" fontId="4" fillId="0" borderId="0" xfId="0" applyNumberFormat="1" applyFont="1"/>
    <xf numFmtId="0" fontId="4" fillId="0" borderId="0" xfId="0" applyFont="1" applyAlignment="1">
      <alignment horizontal="right" wrapText="1"/>
    </xf>
    <xf numFmtId="0" fontId="6" fillId="0" borderId="0" xfId="0" applyFont="1"/>
    <xf numFmtId="0" fontId="6" fillId="0" borderId="0" xfId="0" applyFont="1" applyAlignment="1">
      <alignment wrapText="1"/>
    </xf>
    <xf numFmtId="164" fontId="4" fillId="0" borderId="0" xfId="0" applyNumberFormat="1" applyFont="1" applyAlignment="1">
      <alignment horizontal="center"/>
    </xf>
    <xf numFmtId="0" fontId="4" fillId="0" borderId="0" xfId="0" applyFont="1" applyAlignment="1">
      <alignment horizontal="left" indent="1"/>
    </xf>
    <xf numFmtId="0" fontId="6" fillId="0" borderId="0" xfId="0" applyFont="1" applyAlignment="1">
      <alignment horizontal="left" indent="1"/>
    </xf>
    <xf numFmtId="0" fontId="8" fillId="7" borderId="13" xfId="3" applyFont="1" applyFill="1" applyBorder="1" applyAlignment="1">
      <alignment horizontal="left" indent="1"/>
    </xf>
    <xf numFmtId="0" fontId="9" fillId="7" borderId="13" xfId="3" applyFont="1" applyFill="1" applyBorder="1"/>
    <xf numFmtId="0" fontId="10" fillId="7" borderId="13" xfId="3" applyFont="1" applyFill="1" applyBorder="1" applyAlignment="1">
      <alignment horizontal="right"/>
    </xf>
    <xf numFmtId="0" fontId="11" fillId="0" borderId="0" xfId="3" applyFont="1" applyAlignment="1">
      <alignment horizontal="left" indent="1"/>
    </xf>
    <xf numFmtId="0" fontId="12" fillId="0" borderId="0" xfId="3" applyFont="1"/>
    <xf numFmtId="0" fontId="7" fillId="0" borderId="0" xfId="3"/>
    <xf numFmtId="0" fontId="7" fillId="0" borderId="0" xfId="4" applyFont="1" applyAlignment="1" applyProtection="1">
      <alignment horizontal="left" indent="1"/>
    </xf>
    <xf numFmtId="0" fontId="7" fillId="0" borderId="0" xfId="4" applyFont="1" applyAlignment="1" applyProtection="1"/>
    <xf numFmtId="0" fontId="14" fillId="0" borderId="0" xfId="4" applyFont="1" applyAlignment="1" applyProtection="1">
      <alignment wrapText="1"/>
    </xf>
    <xf numFmtId="0" fontId="13" fillId="0" borderId="0" xfId="4" applyAlignment="1" applyProtection="1">
      <alignment wrapText="1"/>
    </xf>
    <xf numFmtId="0" fontId="7" fillId="0" borderId="0" xfId="3" applyAlignment="1">
      <alignment horizontal="left" indent="1"/>
    </xf>
    <xf numFmtId="0" fontId="15" fillId="0" borderId="0" xfId="3" applyFont="1"/>
    <xf numFmtId="0" fontId="15" fillId="8" borderId="9" xfId="3" applyFont="1" applyFill="1" applyBorder="1" applyAlignment="1">
      <alignment horizontal="left" indent="1"/>
    </xf>
    <xf numFmtId="0" fontId="16" fillId="0" borderId="0" xfId="3" applyFont="1"/>
    <xf numFmtId="166" fontId="7" fillId="0" borderId="0" xfId="3" applyNumberFormat="1" applyAlignment="1">
      <alignment horizontal="left" wrapText="1" indent="1"/>
    </xf>
    <xf numFmtId="166" fontId="7" fillId="0" borderId="0" xfId="3" applyNumberFormat="1" applyProtection="1">
      <protection locked="0"/>
    </xf>
    <xf numFmtId="44" fontId="7" fillId="0" borderId="0" xfId="6" applyFont="1" applyFill="1" applyBorder="1" applyProtection="1">
      <protection locked="0"/>
    </xf>
    <xf numFmtId="166" fontId="7" fillId="0" borderId="0" xfId="3" applyNumberFormat="1" applyAlignment="1">
      <alignment horizontal="left" wrapText="1"/>
    </xf>
    <xf numFmtId="166" fontId="7" fillId="0" borderId="0" xfId="3" applyNumberFormat="1" applyAlignment="1">
      <alignment horizontal="center"/>
    </xf>
    <xf numFmtId="166" fontId="7" fillId="9" borderId="12" xfId="3" applyNumberFormat="1" applyFill="1" applyBorder="1" applyAlignment="1">
      <alignment horizontal="center"/>
    </xf>
    <xf numFmtId="166" fontId="12" fillId="0" borderId="0" xfId="3" applyNumberFormat="1" applyFont="1" applyAlignment="1">
      <alignment horizontal="left" wrapText="1" indent="1"/>
    </xf>
    <xf numFmtId="166" fontId="7" fillId="0" borderId="0" xfId="3" applyNumberFormat="1" applyAlignment="1">
      <alignment horizontal="right"/>
    </xf>
    <xf numFmtId="166" fontId="18" fillId="0" borderId="0" xfId="4" applyNumberFormat="1" applyFont="1" applyAlignment="1" applyProtection="1">
      <alignment horizontal="left" wrapText="1"/>
    </xf>
    <xf numFmtId="0" fontId="7" fillId="0" borderId="0" xfId="3" applyAlignment="1">
      <alignment horizontal="left" wrapText="1" indent="1"/>
    </xf>
    <xf numFmtId="0" fontId="7" fillId="0" borderId="0" xfId="3" applyAlignment="1">
      <alignment horizontal="right"/>
    </xf>
    <xf numFmtId="5" fontId="7" fillId="0" borderId="0" xfId="3" applyNumberFormat="1"/>
    <xf numFmtId="0" fontId="19" fillId="0" borderId="0" xfId="3" applyFont="1" applyAlignment="1">
      <alignment horizontal="left" vertical="top" indent="1"/>
    </xf>
    <xf numFmtId="0" fontId="7" fillId="0" borderId="0" xfId="4" applyFont="1" applyAlignment="1" applyProtection="1">
      <alignment horizontal="left"/>
    </xf>
    <xf numFmtId="14" fontId="7" fillId="0" borderId="0" xfId="3" applyNumberFormat="1" applyAlignment="1">
      <alignment horizontal="left"/>
    </xf>
    <xf numFmtId="0" fontId="21" fillId="0" borderId="0" xfId="3" applyFont="1" applyAlignment="1">
      <alignment wrapText="1"/>
    </xf>
    <xf numFmtId="0" fontId="21" fillId="0" borderId="0" xfId="3" applyFont="1" applyAlignment="1">
      <alignment horizontal="left" wrapText="1"/>
    </xf>
    <xf numFmtId="0" fontId="22" fillId="0" borderId="0" xfId="3" applyFont="1" applyAlignment="1">
      <alignment vertical="top"/>
    </xf>
    <xf numFmtId="0" fontId="1" fillId="0" borderId="0" xfId="0" applyFont="1" applyAlignment="1">
      <alignment horizontal="left" indent="1"/>
    </xf>
    <xf numFmtId="0" fontId="20" fillId="0" borderId="0" xfId="3" applyFont="1" applyAlignment="1">
      <alignment horizontal="left" wrapText="1" indent="1"/>
    </xf>
    <xf numFmtId="7" fontId="7" fillId="6" borderId="9" xfId="3" applyNumberFormat="1" applyFill="1" applyBorder="1" applyProtection="1">
      <protection locked="0"/>
    </xf>
    <xf numFmtId="166" fontId="17" fillId="9" borderId="10" xfId="3" applyNumberFormat="1" applyFont="1" applyFill="1" applyBorder="1" applyAlignment="1">
      <alignment horizontal="left" indent="4"/>
    </xf>
    <xf numFmtId="166" fontId="7" fillId="0" borderId="5" xfId="3" applyNumberFormat="1" applyBorder="1" applyProtection="1">
      <protection locked="0"/>
    </xf>
    <xf numFmtId="0" fontId="7" fillId="0" borderId="4" xfId="3" applyBorder="1" applyProtection="1">
      <protection locked="0"/>
    </xf>
    <xf numFmtId="0" fontId="7" fillId="0" borderId="0" xfId="3" applyProtection="1">
      <protection locked="0"/>
    </xf>
    <xf numFmtId="166" fontId="7" fillId="0" borderId="4" xfId="3" applyNumberFormat="1" applyBorder="1" applyAlignment="1" applyProtection="1">
      <alignment horizontal="left"/>
      <protection locked="0"/>
    </xf>
    <xf numFmtId="7" fontId="7" fillId="0" borderId="0" xfId="3" applyNumberFormat="1" applyProtection="1">
      <protection locked="0"/>
    </xf>
    <xf numFmtId="167" fontId="7" fillId="0" borderId="0" xfId="7" applyNumberFormat="1" applyFont="1" applyFill="1" applyBorder="1" applyProtection="1">
      <protection locked="0"/>
    </xf>
    <xf numFmtId="9" fontId="12" fillId="0" borderId="1" xfId="7" applyFont="1" applyFill="1" applyBorder="1" applyAlignment="1" applyProtection="1">
      <alignment horizontal="center"/>
      <protection locked="0"/>
    </xf>
    <xf numFmtId="9" fontId="12" fillId="0" borderId="2" xfId="7" applyFont="1" applyFill="1" applyBorder="1" applyAlignment="1" applyProtection="1">
      <alignment horizontal="center"/>
      <protection locked="0"/>
    </xf>
    <xf numFmtId="166" fontId="17" fillId="9" borderId="12" xfId="3" applyNumberFormat="1" applyFont="1" applyFill="1" applyBorder="1" applyAlignment="1">
      <alignment horizontal="left" vertical="center" wrapText="1" indent="1"/>
    </xf>
    <xf numFmtId="0" fontId="15" fillId="0" borderId="0" xfId="3" applyFont="1" applyAlignment="1">
      <alignment horizontal="left" indent="1"/>
    </xf>
    <xf numFmtId="166" fontId="17" fillId="9" borderId="10" xfId="3" applyNumberFormat="1" applyFont="1" applyFill="1" applyBorder="1" applyAlignment="1">
      <alignment horizontal="right" vertical="center" wrapText="1" indent="1"/>
    </xf>
    <xf numFmtId="166" fontId="7" fillId="0" borderId="0" xfId="3" applyNumberFormat="1" applyAlignment="1">
      <alignment horizontal="left"/>
    </xf>
    <xf numFmtId="166" fontId="7" fillId="6" borderId="9" xfId="3" applyNumberFormat="1" applyFill="1" applyBorder="1" applyAlignment="1">
      <alignment horizontal="right" wrapText="1" indent="1"/>
    </xf>
    <xf numFmtId="166" fontId="7" fillId="0" borderId="0" xfId="3" applyNumberFormat="1" applyAlignment="1">
      <alignment horizontal="left" wrapText="1" indent="2"/>
    </xf>
    <xf numFmtId="164" fontId="4" fillId="6" borderId="9" xfId="0" applyNumberFormat="1" applyFont="1" applyFill="1" applyBorder="1" applyAlignment="1">
      <alignment vertical="top"/>
    </xf>
    <xf numFmtId="3" fontId="4" fillId="6" borderId="9" xfId="0" applyNumberFormat="1" applyFont="1" applyFill="1" applyBorder="1"/>
    <xf numFmtId="0" fontId="4" fillId="6" borderId="9" xfId="0" applyFont="1" applyFill="1" applyBorder="1" applyAlignment="1">
      <alignment vertical="top"/>
    </xf>
    <xf numFmtId="164" fontId="7" fillId="0" borderId="0" xfId="1" applyNumberFormat="1" applyFont="1" applyFill="1" applyBorder="1" applyProtection="1">
      <protection locked="0"/>
    </xf>
    <xf numFmtId="164" fontId="7" fillId="0" borderId="0" xfId="6" applyNumberFormat="1" applyFont="1" applyFill="1" applyBorder="1" applyProtection="1">
      <protection locked="0"/>
    </xf>
    <xf numFmtId="167" fontId="7" fillId="6" borderId="9" xfId="2" applyNumberFormat="1" applyFont="1" applyFill="1" applyBorder="1" applyProtection="1">
      <protection locked="0"/>
    </xf>
    <xf numFmtId="44" fontId="23" fillId="0" borderId="0" xfId="6" applyFont="1" applyFill="1" applyBorder="1" applyProtection="1">
      <protection locked="0"/>
    </xf>
    <xf numFmtId="166" fontId="7" fillId="0" borderId="4" xfId="3" applyNumberFormat="1" applyBorder="1" applyAlignment="1" applyProtection="1">
      <alignment horizontal="center"/>
      <protection locked="0"/>
    </xf>
    <xf numFmtId="167" fontId="23" fillId="0" borderId="0" xfId="7" applyNumberFormat="1" applyFont="1" applyFill="1" applyBorder="1" applyProtection="1">
      <protection locked="0"/>
    </xf>
    <xf numFmtId="166" fontId="24" fillId="9" borderId="10" xfId="3" applyNumberFormat="1" applyFont="1" applyFill="1" applyBorder="1" applyAlignment="1">
      <alignment horizontal="left" indent="1"/>
    </xf>
    <xf numFmtId="166" fontId="7" fillId="9" borderId="12" xfId="3" applyNumberFormat="1" applyFill="1" applyBorder="1" applyAlignment="1">
      <alignment horizontal="left" wrapText="1" indent="1"/>
    </xf>
    <xf numFmtId="166" fontId="7" fillId="9" borderId="11" xfId="3" applyNumberFormat="1" applyFill="1" applyBorder="1" applyAlignment="1">
      <alignment horizontal="left" wrapText="1" indent="1"/>
    </xf>
    <xf numFmtId="166" fontId="16" fillId="6" borderId="10" xfId="3" applyNumberFormat="1" applyFont="1" applyFill="1" applyBorder="1" applyProtection="1">
      <protection locked="0"/>
    </xf>
    <xf numFmtId="166" fontId="7" fillId="6" borderId="11" xfId="3" applyNumberFormat="1" applyFill="1" applyBorder="1" applyProtection="1">
      <protection locked="0"/>
    </xf>
    <xf numFmtId="166" fontId="25" fillId="6" borderId="10" xfId="3" applyNumberFormat="1" applyFont="1" applyFill="1" applyBorder="1" applyProtection="1">
      <protection locked="0"/>
    </xf>
    <xf numFmtId="166" fontId="25" fillId="6" borderId="11" xfId="3" applyNumberFormat="1" applyFont="1" applyFill="1" applyBorder="1" applyProtection="1">
      <protection locked="0"/>
    </xf>
    <xf numFmtId="0" fontId="7" fillId="6" borderId="9" xfId="3" applyFill="1" applyBorder="1"/>
    <xf numFmtId="9" fontId="12" fillId="0" borderId="3" xfId="7" applyFont="1" applyFill="1" applyBorder="1" applyAlignment="1" applyProtection="1">
      <alignment horizontal="center" wrapText="1"/>
      <protection locked="0"/>
    </xf>
    <xf numFmtId="7" fontId="7" fillId="0" borderId="5" xfId="3" applyNumberFormat="1" applyBorder="1" applyProtection="1">
      <protection locked="0"/>
    </xf>
    <xf numFmtId="164" fontId="7" fillId="0" borderId="5" xfId="3" applyNumberFormat="1" applyBorder="1" applyProtection="1">
      <protection locked="0"/>
    </xf>
    <xf numFmtId="164" fontId="7" fillId="0" borderId="5" xfId="6" applyNumberFormat="1" applyFont="1" applyFill="1" applyBorder="1" applyProtection="1">
      <protection locked="0"/>
    </xf>
    <xf numFmtId="166" fontId="7" fillId="2" borderId="12" xfId="3" applyNumberFormat="1" applyFill="1" applyBorder="1" applyAlignment="1">
      <alignment horizontal="left" wrapText="1" indent="1"/>
    </xf>
    <xf numFmtId="166" fontId="7" fillId="2" borderId="12" xfId="3" applyNumberFormat="1" applyFill="1" applyBorder="1" applyAlignment="1">
      <alignment horizontal="right"/>
    </xf>
    <xf numFmtId="166" fontId="17" fillId="2" borderId="12" xfId="3" applyNumberFormat="1" applyFont="1" applyFill="1" applyBorder="1" applyAlignment="1">
      <alignment horizontal="left" wrapText="1" indent="1"/>
    </xf>
    <xf numFmtId="166" fontId="7" fillId="0" borderId="4" xfId="3" applyNumberFormat="1" applyBorder="1" applyProtection="1">
      <protection locked="0"/>
    </xf>
    <xf numFmtId="44" fontId="7" fillId="0" borderId="4" xfId="6" applyFont="1" applyFill="1" applyBorder="1" applyProtection="1">
      <protection locked="0"/>
    </xf>
    <xf numFmtId="167" fontId="7" fillId="0" borderId="4" xfId="7" applyNumberFormat="1" applyFont="1" applyFill="1" applyBorder="1" applyProtection="1">
      <protection locked="0"/>
    </xf>
    <xf numFmtId="164" fontId="4" fillId="6" borderId="14" xfId="0" applyNumberFormat="1" applyFont="1" applyFill="1" applyBorder="1" applyAlignment="1">
      <alignment vertical="top"/>
    </xf>
    <xf numFmtId="0" fontId="7" fillId="6" borderId="12" xfId="3" applyFill="1" applyBorder="1" applyProtection="1">
      <protection locked="0"/>
    </xf>
    <xf numFmtId="166" fontId="17" fillId="0" borderId="0" xfId="3" applyNumberFormat="1" applyFont="1" applyAlignment="1">
      <alignment horizontal="left" wrapText="1" indent="1"/>
    </xf>
    <xf numFmtId="166" fontId="17" fillId="2" borderId="0" xfId="3" applyNumberFormat="1" applyFont="1" applyFill="1" applyAlignment="1">
      <alignment horizontal="left" wrapText="1" indent="1"/>
    </xf>
    <xf numFmtId="0" fontId="7" fillId="2" borderId="0" xfId="3" applyFill="1" applyAlignment="1">
      <alignment horizontal="left" wrapText="1" indent="1"/>
    </xf>
    <xf numFmtId="0" fontId="7" fillId="2" borderId="0" xfId="3" applyFill="1" applyAlignment="1">
      <alignment horizontal="right"/>
    </xf>
    <xf numFmtId="0" fontId="7" fillId="2" borderId="4" xfId="3" applyFill="1" applyBorder="1" applyProtection="1">
      <protection locked="0"/>
    </xf>
    <xf numFmtId="166" fontId="7" fillId="2" borderId="0" xfId="3" applyNumberFormat="1" applyFill="1" applyProtection="1">
      <protection locked="0"/>
    </xf>
    <xf numFmtId="166" fontId="7" fillId="2" borderId="5" xfId="3" applyNumberFormat="1" applyFill="1" applyBorder="1" applyProtection="1">
      <protection locked="0"/>
    </xf>
    <xf numFmtId="166" fontId="7" fillId="2" borderId="4" xfId="3" applyNumberFormat="1" applyFill="1" applyBorder="1" applyProtection="1">
      <protection locked="0"/>
    </xf>
    <xf numFmtId="0" fontId="7" fillId="2" borderId="0" xfId="3" applyFill="1" applyProtection="1">
      <protection locked="0"/>
    </xf>
    <xf numFmtId="166" fontId="12" fillId="0" borderId="0" xfId="3" applyNumberFormat="1" applyFont="1" applyAlignment="1">
      <alignment horizontal="left" wrapText="1" indent="2"/>
    </xf>
    <xf numFmtId="0" fontId="6" fillId="0" borderId="4" xfId="0" applyFont="1" applyBorder="1" applyAlignment="1">
      <alignment horizontal="left" vertical="top" wrapText="1" indent="2"/>
    </xf>
    <xf numFmtId="166" fontId="7" fillId="0" borderId="0" xfId="3" applyNumberFormat="1" applyAlignment="1">
      <alignment horizontal="left" wrapText="1" indent="3"/>
    </xf>
    <xf numFmtId="0" fontId="4" fillId="0" borderId="4" xfId="0" applyFont="1" applyBorder="1" applyAlignment="1">
      <alignment horizontal="left" vertical="top" wrapText="1" indent="3"/>
    </xf>
    <xf numFmtId="0" fontId="4" fillId="0" borderId="4" xfId="0" applyFont="1" applyBorder="1" applyAlignment="1">
      <alignment horizontal="left" indent="3"/>
    </xf>
    <xf numFmtId="0" fontId="4" fillId="0" borderId="0" xfId="0" applyFont="1" applyAlignment="1">
      <alignment horizontal="left" vertical="top" wrapText="1" indent="1"/>
    </xf>
    <xf numFmtId="0" fontId="4" fillId="0" borderId="4" xfId="0" applyFont="1" applyBorder="1" applyAlignment="1">
      <alignment horizontal="left" wrapText="1" indent="3"/>
    </xf>
    <xf numFmtId="0" fontId="4" fillId="0" borderId="0" xfId="0" applyFont="1" applyAlignment="1">
      <alignment vertical="top" wrapText="1"/>
    </xf>
    <xf numFmtId="0" fontId="5" fillId="0" borderId="0" xfId="0" applyFont="1" applyAlignment="1">
      <alignment horizontal="left" vertical="top" wrapText="1"/>
    </xf>
    <xf numFmtId="0" fontId="4" fillId="0" borderId="0" xfId="0" applyFont="1" applyAlignment="1">
      <alignment horizontal="left" vertical="top" wrapText="1"/>
    </xf>
    <xf numFmtId="0" fontId="6" fillId="0" borderId="0" xfId="0" applyFont="1" applyAlignment="1">
      <alignment vertical="top"/>
    </xf>
    <xf numFmtId="0" fontId="6" fillId="0" borderId="0" xfId="0" applyFont="1" applyAlignment="1">
      <alignment vertical="top" wrapText="1"/>
    </xf>
    <xf numFmtId="0" fontId="5" fillId="0" borderId="0" xfId="0" applyFont="1" applyAlignment="1">
      <alignment horizontal="left" vertical="top"/>
    </xf>
    <xf numFmtId="164" fontId="6" fillId="2" borderId="0" xfId="0" applyNumberFormat="1" applyFont="1" applyFill="1" applyAlignment="1">
      <alignment horizontal="center"/>
    </xf>
    <xf numFmtId="165" fontId="6" fillId="0" borderId="0" xfId="0" applyNumberFormat="1" applyFont="1" applyAlignment="1">
      <alignment horizontal="center"/>
    </xf>
    <xf numFmtId="164" fontId="6" fillId="0" borderId="0" xfId="0" applyNumberFormat="1" applyFont="1" applyAlignment="1">
      <alignment horizontal="center"/>
    </xf>
    <xf numFmtId="165" fontId="4" fillId="4" borderId="0" xfId="1" applyNumberFormat="1" applyFont="1" applyFill="1" applyBorder="1" applyAlignment="1">
      <alignment horizontal="center"/>
    </xf>
    <xf numFmtId="0" fontId="26" fillId="0" borderId="0" xfId="0" applyFont="1"/>
    <xf numFmtId="165" fontId="4" fillId="0" borderId="0" xfId="0" applyNumberFormat="1" applyFont="1"/>
    <xf numFmtId="165" fontId="4" fillId="4" borderId="0" xfId="1" applyNumberFormat="1" applyFont="1" applyFill="1" applyBorder="1" applyAlignment="1">
      <alignment horizontal="center" vertical="top"/>
    </xf>
    <xf numFmtId="0" fontId="26" fillId="0" borderId="0" xfId="0" applyFont="1" applyAlignment="1">
      <alignment wrapText="1"/>
    </xf>
    <xf numFmtId="165" fontId="4" fillId="0" borderId="0" xfId="1" applyNumberFormat="1" applyFont="1" applyAlignment="1"/>
    <xf numFmtId="0" fontId="27" fillId="0" borderId="0" xfId="0" applyFont="1"/>
    <xf numFmtId="0" fontId="5" fillId="0" borderId="0" xfId="0" applyFont="1" applyAlignment="1">
      <alignment horizontal="left" wrapText="1"/>
    </xf>
    <xf numFmtId="165" fontId="4" fillId="0" borderId="0" xfId="1" applyNumberFormat="1" applyFont="1" applyFill="1" applyAlignment="1"/>
    <xf numFmtId="0" fontId="28" fillId="0" borderId="0" xfId="0" applyFont="1"/>
    <xf numFmtId="0" fontId="4" fillId="2" borderId="0" xfId="0" applyFont="1" applyFill="1" applyAlignment="1">
      <alignment horizontal="left" indent="1"/>
    </xf>
    <xf numFmtId="0" fontId="4" fillId="5" borderId="0" xfId="0" applyFont="1" applyFill="1" applyAlignment="1">
      <alignment horizontal="left" indent="1"/>
    </xf>
    <xf numFmtId="0" fontId="4" fillId="3" borderId="0" xfId="0" applyFont="1" applyFill="1" applyAlignment="1">
      <alignment horizontal="left" vertical="top" indent="1"/>
    </xf>
    <xf numFmtId="0" fontId="6" fillId="0" borderId="7" xfId="0" applyFont="1" applyBorder="1"/>
    <xf numFmtId="0" fontId="3" fillId="0" borderId="7" xfId="0" applyFont="1" applyBorder="1" applyAlignment="1">
      <alignment horizontal="left" indent="1"/>
    </xf>
    <xf numFmtId="0" fontId="3" fillId="0" borderId="7" xfId="0" applyFont="1" applyBorder="1" applyAlignment="1">
      <alignment horizontal="center"/>
    </xf>
    <xf numFmtId="0" fontId="3" fillId="0" borderId="7" xfId="0" applyFont="1" applyBorder="1" applyAlignment="1">
      <alignment horizontal="center" wrapText="1"/>
    </xf>
    <xf numFmtId="14" fontId="7" fillId="0" borderId="0" xfId="3" applyNumberFormat="1" applyAlignment="1">
      <alignment horizontal="left" indent="1"/>
    </xf>
    <xf numFmtId="0" fontId="12" fillId="0" borderId="0" xfId="3" applyFont="1" applyAlignment="1">
      <alignment horizontal="right" indent="1"/>
    </xf>
    <xf numFmtId="1" fontId="7" fillId="6" borderId="9" xfId="2" applyNumberFormat="1" applyFont="1" applyFill="1" applyBorder="1" applyProtection="1">
      <protection locked="0"/>
    </xf>
    <xf numFmtId="166" fontId="17" fillId="9" borderId="10" xfId="3" applyNumberFormat="1" applyFont="1" applyFill="1" applyBorder="1" applyAlignment="1">
      <alignment horizontal="left" vertical="center" wrapText="1" indent="1"/>
    </xf>
    <xf numFmtId="164" fontId="7" fillId="0" borderId="5" xfId="1" applyNumberFormat="1" applyFont="1" applyFill="1" applyBorder="1" applyProtection="1">
      <protection locked="0"/>
    </xf>
    <xf numFmtId="0" fontId="7" fillId="0" borderId="4" xfId="0" applyFont="1" applyBorder="1" applyAlignment="1">
      <alignment horizontal="left" vertical="top" wrapText="1" indent="3"/>
    </xf>
    <xf numFmtId="9" fontId="12" fillId="0" borderId="4" xfId="7" applyFont="1" applyFill="1" applyBorder="1" applyAlignment="1" applyProtection="1">
      <alignment horizontal="center"/>
      <protection locked="0"/>
    </xf>
    <xf numFmtId="9" fontId="12" fillId="0" borderId="15" xfId="7" applyFont="1" applyFill="1" applyBorder="1" applyAlignment="1" applyProtection="1">
      <alignment horizontal="center"/>
      <protection locked="0"/>
    </xf>
    <xf numFmtId="166" fontId="7" fillId="0" borderId="5" xfId="3" applyNumberFormat="1" applyBorder="1" applyAlignment="1">
      <alignment horizontal="left"/>
    </xf>
    <xf numFmtId="166" fontId="7" fillId="0" borderId="8" xfId="3" applyNumberFormat="1" applyBorder="1" applyProtection="1">
      <protection locked="0"/>
    </xf>
    <xf numFmtId="164" fontId="4" fillId="0" borderId="9" xfId="0" applyNumberFormat="1" applyFont="1" applyBorder="1" applyAlignment="1">
      <alignment vertical="top"/>
    </xf>
    <xf numFmtId="9" fontId="12" fillId="0" borderId="0" xfId="7" applyFont="1" applyFill="1" applyBorder="1" applyAlignment="1" applyProtection="1">
      <alignment horizontal="center"/>
      <protection locked="0"/>
    </xf>
    <xf numFmtId="9" fontId="12" fillId="0" borderId="5" xfId="7" applyFont="1" applyFill="1" applyBorder="1" applyAlignment="1" applyProtection="1">
      <alignment horizontal="center" wrapText="1"/>
      <protection locked="0"/>
    </xf>
    <xf numFmtId="166" fontId="17" fillId="2" borderId="10" xfId="3" applyNumberFormat="1" applyFont="1" applyFill="1" applyBorder="1" applyAlignment="1">
      <alignment horizontal="left" wrapText="1" indent="1"/>
    </xf>
    <xf numFmtId="0" fontId="7" fillId="2" borderId="12" xfId="3" applyFill="1" applyBorder="1" applyAlignment="1">
      <alignment horizontal="left" wrapText="1" indent="1"/>
    </xf>
    <xf numFmtId="0" fontId="7" fillId="2" borderId="12" xfId="3" applyFill="1" applyBorder="1" applyAlignment="1">
      <alignment horizontal="right"/>
    </xf>
    <xf numFmtId="0" fontId="7" fillId="2" borderId="10" xfId="3" applyFill="1" applyBorder="1" applyProtection="1">
      <protection locked="0"/>
    </xf>
    <xf numFmtId="166" fontId="7" fillId="2" borderId="12" xfId="3" applyNumberFormat="1" applyFill="1" applyBorder="1" applyProtection="1">
      <protection locked="0"/>
    </xf>
    <xf numFmtId="166" fontId="7" fillId="2" borderId="11" xfId="3" applyNumberFormat="1" applyFill="1" applyBorder="1" applyProtection="1">
      <protection locked="0"/>
    </xf>
    <xf numFmtId="166" fontId="7" fillId="2" borderId="10" xfId="3" applyNumberFormat="1" applyFill="1" applyBorder="1" applyProtection="1">
      <protection locked="0"/>
    </xf>
    <xf numFmtId="0" fontId="7" fillId="2" borderId="12" xfId="3" applyFill="1" applyBorder="1" applyProtection="1">
      <protection locked="0"/>
    </xf>
    <xf numFmtId="0" fontId="12" fillId="0" borderId="1" xfId="8" applyFont="1" applyBorder="1" applyAlignment="1">
      <alignment horizontal="left" indent="2"/>
    </xf>
    <xf numFmtId="166" fontId="7" fillId="0" borderId="2" xfId="3" applyNumberFormat="1" applyBorder="1" applyAlignment="1">
      <alignment horizontal="left" wrapText="1"/>
    </xf>
    <xf numFmtId="166" fontId="7" fillId="0" borderId="2" xfId="3" applyNumberFormat="1" applyBorder="1" applyAlignment="1">
      <alignment horizontal="center"/>
    </xf>
    <xf numFmtId="0" fontId="29" fillId="0" borderId="4" xfId="8" applyBorder="1" applyAlignment="1">
      <alignment horizontal="left" indent="3"/>
    </xf>
    <xf numFmtId="0" fontId="7" fillId="0" borderId="4" xfId="8" applyFont="1" applyBorder="1" applyAlignment="1">
      <alignment horizontal="left" indent="3"/>
    </xf>
    <xf numFmtId="0" fontId="12" fillId="0" borderId="4" xfId="8" applyFont="1" applyBorder="1" applyAlignment="1">
      <alignment horizontal="left" indent="4"/>
    </xf>
    <xf numFmtId="0" fontId="12" fillId="0" borderId="6" xfId="8" applyFont="1" applyBorder="1" applyAlignment="1">
      <alignment horizontal="left" indent="2"/>
    </xf>
    <xf numFmtId="166" fontId="7" fillId="0" borderId="7" xfId="3" applyNumberFormat="1" applyBorder="1" applyAlignment="1">
      <alignment horizontal="left" wrapText="1"/>
    </xf>
    <xf numFmtId="166" fontId="7" fillId="0" borderId="7" xfId="3" applyNumberFormat="1" applyBorder="1" applyAlignment="1">
      <alignment horizontal="center"/>
    </xf>
    <xf numFmtId="166" fontId="7" fillId="0" borderId="1" xfId="3" applyNumberFormat="1" applyBorder="1" applyAlignment="1">
      <alignment horizontal="right"/>
    </xf>
    <xf numFmtId="166" fontId="7" fillId="0" borderId="6" xfId="3" applyNumberFormat="1" applyBorder="1" applyAlignment="1">
      <alignment horizontal="right"/>
    </xf>
    <xf numFmtId="166" fontId="12" fillId="0" borderId="3" xfId="3" applyNumberFormat="1" applyFont="1" applyBorder="1" applyAlignment="1" applyProtection="1">
      <alignment horizontal="center" wrapText="1"/>
      <protection locked="0"/>
    </xf>
    <xf numFmtId="164" fontId="7" fillId="0" borderId="7" xfId="3" applyNumberFormat="1" applyBorder="1" applyProtection="1">
      <protection locked="0"/>
    </xf>
    <xf numFmtId="164" fontId="7" fillId="0" borderId="8" xfId="3" applyNumberFormat="1" applyBorder="1" applyProtection="1">
      <protection locked="0"/>
    </xf>
    <xf numFmtId="166" fontId="12" fillId="0" borderId="2" xfId="3" applyNumberFormat="1" applyFont="1" applyBorder="1" applyAlignment="1" applyProtection="1">
      <alignment horizontal="center" wrapText="1"/>
      <protection locked="0"/>
    </xf>
    <xf numFmtId="0" fontId="7" fillId="0" borderId="4" xfId="3" applyBorder="1"/>
    <xf numFmtId="164" fontId="7" fillId="0" borderId="5" xfId="1" applyNumberFormat="1" applyFont="1" applyBorder="1" applyProtection="1">
      <protection locked="0"/>
    </xf>
    <xf numFmtId="164" fontId="7" fillId="6" borderId="9" xfId="3" applyNumberFormat="1" applyFill="1" applyBorder="1" applyProtection="1">
      <protection locked="0"/>
    </xf>
    <xf numFmtId="164" fontId="30" fillId="6" borderId="9" xfId="3" applyNumberFormat="1" applyFont="1" applyFill="1" applyBorder="1" applyProtection="1">
      <protection locked="0"/>
    </xf>
    <xf numFmtId="9" fontId="12" fillId="2" borderId="1" xfId="7" applyFont="1" applyFill="1" applyBorder="1" applyAlignment="1" applyProtection="1">
      <alignment horizontal="center"/>
      <protection locked="0"/>
    </xf>
    <xf numFmtId="9" fontId="12" fillId="2" borderId="2" xfId="7" applyFont="1" applyFill="1" applyBorder="1" applyAlignment="1" applyProtection="1">
      <alignment horizontal="center"/>
      <protection locked="0"/>
    </xf>
    <xf numFmtId="9" fontId="12" fillId="2" borderId="3" xfId="7" applyFont="1" applyFill="1" applyBorder="1" applyAlignment="1" applyProtection="1">
      <alignment horizontal="center" wrapText="1"/>
      <protection locked="0"/>
    </xf>
    <xf numFmtId="166" fontId="24" fillId="0" borderId="6" xfId="3" applyNumberFormat="1" applyFont="1" applyBorder="1" applyAlignment="1" applyProtection="1">
      <alignment horizontal="right"/>
      <protection locked="0"/>
    </xf>
    <xf numFmtId="166" fontId="24" fillId="0" borderId="7" xfId="3" applyNumberFormat="1" applyFont="1" applyBorder="1" applyProtection="1">
      <protection locked="0"/>
    </xf>
    <xf numFmtId="164" fontId="24" fillId="0" borderId="8" xfId="3" applyNumberFormat="1" applyFont="1" applyBorder="1" applyProtection="1">
      <protection locked="0"/>
    </xf>
    <xf numFmtId="166" fontId="24" fillId="0" borderId="6" xfId="3" applyNumberFormat="1" applyFont="1" applyBorder="1" applyProtection="1">
      <protection locked="0"/>
    </xf>
    <xf numFmtId="0" fontId="24" fillId="0" borderId="7" xfId="3" applyFont="1" applyBorder="1" applyProtection="1">
      <protection locked="0"/>
    </xf>
    <xf numFmtId="166" fontId="7" fillId="0" borderId="2" xfId="3" applyNumberFormat="1" applyBorder="1" applyAlignment="1">
      <alignment horizontal="left" wrapText="1" indent="1"/>
    </xf>
    <xf numFmtId="166" fontId="7" fillId="0" borderId="2" xfId="3" applyNumberFormat="1" applyBorder="1" applyAlignment="1">
      <alignment horizontal="right"/>
    </xf>
    <xf numFmtId="164" fontId="12" fillId="0" borderId="1" xfId="1" applyNumberFormat="1" applyFont="1" applyFill="1" applyBorder="1" applyAlignment="1" applyProtection="1">
      <alignment horizontal="right"/>
      <protection locked="0"/>
    </xf>
    <xf numFmtId="164" fontId="12" fillId="0" borderId="2" xfId="1" applyNumberFormat="1" applyFont="1" applyFill="1" applyBorder="1" applyProtection="1">
      <protection locked="0"/>
    </xf>
    <xf numFmtId="164" fontId="17" fillId="0" borderId="3" xfId="3" applyNumberFormat="1" applyFont="1" applyBorder="1" applyProtection="1">
      <protection locked="0"/>
    </xf>
    <xf numFmtId="166" fontId="7" fillId="0" borderId="7" xfId="3" applyNumberFormat="1" applyBorder="1" applyAlignment="1">
      <alignment horizontal="left" wrapText="1" indent="1"/>
    </xf>
    <xf numFmtId="166" fontId="7" fillId="0" borderId="8" xfId="3" applyNumberFormat="1" applyBorder="1" applyAlignment="1">
      <alignment horizontal="right"/>
    </xf>
    <xf numFmtId="166" fontId="7" fillId="0" borderId="2" xfId="3" applyNumberFormat="1" applyBorder="1" applyAlignment="1">
      <alignment horizontal="left" wrapText="1" indent="2"/>
    </xf>
    <xf numFmtId="166" fontId="7" fillId="0" borderId="7" xfId="3" applyNumberFormat="1" applyBorder="1" applyAlignment="1">
      <alignment horizontal="left" wrapText="1" indent="2"/>
    </xf>
    <xf numFmtId="3" fontId="31" fillId="0" borderId="0" xfId="0" applyNumberFormat="1" applyFont="1"/>
    <xf numFmtId="164" fontId="7" fillId="0" borderId="0" xfId="3" applyNumberFormat="1"/>
    <xf numFmtId="165" fontId="4" fillId="2" borderId="0" xfId="0" applyNumberFormat="1" applyFont="1" applyFill="1" applyAlignment="1">
      <alignment horizontal="center"/>
    </xf>
    <xf numFmtId="0" fontId="5" fillId="0" borderId="0" xfId="0" applyFont="1" applyAlignment="1">
      <alignment vertical="top"/>
    </xf>
    <xf numFmtId="0" fontId="4" fillId="0" borderId="0" xfId="0" applyFont="1" applyAlignment="1">
      <alignment horizontal="left" wrapText="1" indent="1"/>
    </xf>
    <xf numFmtId="0" fontId="32" fillId="0" borderId="0" xfId="0" quotePrefix="1" applyFont="1"/>
    <xf numFmtId="168" fontId="20" fillId="0" borderId="0" xfId="3" applyNumberFormat="1" applyFont="1" applyAlignment="1">
      <alignment horizontal="left" wrapText="1"/>
    </xf>
    <xf numFmtId="165" fontId="6" fillId="5" borderId="0" xfId="0" applyNumberFormat="1" applyFont="1" applyFill="1" applyAlignment="1">
      <alignment horizontal="center"/>
    </xf>
    <xf numFmtId="165" fontId="6" fillId="3" borderId="0" xfId="0" applyNumberFormat="1" applyFont="1" applyFill="1" applyAlignment="1">
      <alignment horizontal="center" vertical="top"/>
    </xf>
    <xf numFmtId="165" fontId="6" fillId="2" borderId="0" xfId="0" applyNumberFormat="1" applyFont="1" applyFill="1" applyAlignment="1">
      <alignment horizontal="center"/>
    </xf>
  </cellXfs>
  <cellStyles count="9">
    <cellStyle name="Comma 2" xfId="5" xr:uid="{A8FD07D1-C435-47DA-85B2-A8643AEF7F88}"/>
    <cellStyle name="Currency" xfId="1" builtinId="4"/>
    <cellStyle name="Currency 2" xfId="6" xr:uid="{C85546D8-7F2C-403E-AC46-5B85A2DB3AF9}"/>
    <cellStyle name="Hyperlink 2" xfId="4" xr:uid="{FB7DA681-B76A-4B7E-A5ED-835B92801F91}"/>
    <cellStyle name="Normal" xfId="0" builtinId="0"/>
    <cellStyle name="Normal 2" xfId="3" xr:uid="{8CD3C85A-D376-4693-9E00-9E7FA58E8D5B}"/>
    <cellStyle name="Normal 3" xfId="8" xr:uid="{8DB0D2FD-4811-4DD5-BE1E-499D19E3491B}"/>
    <cellStyle name="Percent" xfId="2" builtinId="5"/>
    <cellStyle name="Percent 2" xfId="7" xr:uid="{B5F1890C-517A-4679-B7C1-0FD5F783C021}"/>
  </cellStyles>
  <dxfs count="0"/>
  <tableStyles count="0" defaultTableStyle="TableStyleMedium2" defaultPivotStyle="PivotStyleLight16"/>
  <colors>
    <mruColors>
      <color rgb="FF564920"/>
      <color rgb="FFFFFFCC"/>
      <color rgb="FFCCFF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xdr:from>
      <xdr:col>10</xdr:col>
      <xdr:colOff>157982</xdr:colOff>
      <xdr:row>1</xdr:row>
      <xdr:rowOff>117475</xdr:rowOff>
    </xdr:from>
    <xdr:to>
      <xdr:col>15</xdr:col>
      <xdr:colOff>387349</xdr:colOff>
      <xdr:row>8</xdr:row>
      <xdr:rowOff>22046</xdr:rowOff>
    </xdr:to>
    <xdr:grpSp>
      <xdr:nvGrpSpPr>
        <xdr:cNvPr id="8" name="Group 7" descr="Image showing perennial ground cover">
          <a:extLst>
            <a:ext uri="{FF2B5EF4-FFF2-40B4-BE49-F238E27FC236}">
              <a16:creationId xmlns:a16="http://schemas.microsoft.com/office/drawing/2014/main" id="{BB8B8C71-19D5-4866-BF0D-78C092919EEC}"/>
            </a:ext>
          </a:extLst>
        </xdr:cNvPr>
        <xdr:cNvGrpSpPr>
          <a:grpSpLocks noChangeAspect="1"/>
        </xdr:cNvGrpSpPr>
      </xdr:nvGrpSpPr>
      <xdr:grpSpPr>
        <a:xfrm>
          <a:off x="12870682" y="447675"/>
          <a:ext cx="4839467" cy="1060271"/>
          <a:chOff x="68580" y="-1"/>
          <a:chExt cx="7592711" cy="1579674"/>
        </a:xfrm>
      </xdr:grpSpPr>
      <xdr:sp macro="" textlink="">
        <xdr:nvSpPr>
          <xdr:cNvPr id="9" name="Text Box 2">
            <a:extLst>
              <a:ext uri="{FF2B5EF4-FFF2-40B4-BE49-F238E27FC236}">
                <a16:creationId xmlns:a16="http://schemas.microsoft.com/office/drawing/2014/main" id="{8A64690C-E82D-41C6-BD65-C9814CAA1E85}"/>
              </a:ext>
            </a:extLst>
          </xdr:cNvPr>
          <xdr:cNvSpPr txBox="1">
            <a:spLocks noChangeArrowheads="1"/>
          </xdr:cNvSpPr>
        </xdr:nvSpPr>
        <xdr:spPr bwMode="auto">
          <a:xfrm>
            <a:off x="2444428" y="542454"/>
            <a:ext cx="5216863" cy="926607"/>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800"/>
              </a:spcAft>
            </a:pPr>
            <a:r>
              <a:rPr lang="en-US" sz="900" i="1">
                <a:effectLst/>
                <a:latin typeface="Times New Roman" panose="02020603050405020304" pitchFamily="18" charset="0"/>
                <a:ea typeface="Calibri" panose="020F0502020204030204" pitchFamily="34" charset="0"/>
                <a:cs typeface="Times New Roman" panose="02020603050405020304" pitchFamily="18" charset="0"/>
              </a:rPr>
              <a:t>Fig. 1. Profile of corn growing in PGC. Corn is planted in alternating 15”- wide strip-tilled rows on 30” centers.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pic>
        <xdr:nvPicPr>
          <xdr:cNvPr id="10" name="Picture 9">
            <a:extLst>
              <a:ext uri="{FF2B5EF4-FFF2-40B4-BE49-F238E27FC236}">
                <a16:creationId xmlns:a16="http://schemas.microsoft.com/office/drawing/2014/main" id="{467D7091-CE5B-43EE-96DE-A408E7A40C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8580" y="-1"/>
            <a:ext cx="2306523" cy="1579674"/>
          </a:xfrm>
          <a:prstGeom prst="rect">
            <a:avLst/>
          </a:prstGeom>
        </xdr:spPr>
      </xdr:pic>
    </xdr:grpSp>
    <xdr:clientData/>
  </xdr:twoCellAnchor>
  <xdr:twoCellAnchor editAs="absolute">
    <xdr:from>
      <xdr:col>1</xdr:col>
      <xdr:colOff>76200</xdr:colOff>
      <xdr:row>3</xdr:row>
      <xdr:rowOff>38100</xdr:rowOff>
    </xdr:from>
    <xdr:to>
      <xdr:col>9</xdr:col>
      <xdr:colOff>736600</xdr:colOff>
      <xdr:row>8</xdr:row>
      <xdr:rowOff>114300</xdr:rowOff>
    </xdr:to>
    <xdr:sp macro="" textlink="">
      <xdr:nvSpPr>
        <xdr:cNvPr id="2" name="TextBox 1">
          <a:extLst>
            <a:ext uri="{FF2B5EF4-FFF2-40B4-BE49-F238E27FC236}">
              <a16:creationId xmlns:a16="http://schemas.microsoft.com/office/drawing/2014/main" id="{C1BC1BA3-BB33-2B33-3B6F-0C25B94C3AEF}"/>
            </a:ext>
          </a:extLst>
        </xdr:cNvPr>
        <xdr:cNvSpPr txBox="1"/>
      </xdr:nvSpPr>
      <xdr:spPr>
        <a:xfrm>
          <a:off x="4356100" y="736600"/>
          <a:ext cx="8293100" cy="863600"/>
        </a:xfrm>
        <a:prstGeom prst="rect">
          <a:avLst/>
        </a:prstGeom>
        <a:solidFill>
          <a:srgbClr val="56492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975">
              <a:solidFill>
                <a:schemeClr val="bg1"/>
              </a:solidFill>
              <a:effectLst/>
              <a:latin typeface="+mn-lt"/>
              <a:ea typeface="+mn-ea"/>
              <a:cs typeface="+mn-cs"/>
            </a:rPr>
            <a:t>PLEASE NOTE: This Enterprise Budget Spreadsheet IS PROVIDED “AS IS” TO ILLUSTRATE RESEARCH DERIVED SCENARIOS AND WITHOUT WARRANTY OF ANY KIND. ACCESS TO THIS SPREADSHEET AND THE USE OF ITS CONTENTS IS AT THE SOLE RISK OF THE USER. Neither the RegenPGC research project nor ISU nor any of its officers, employees, or agents make any warranty, express or implied, including warranties of merchantability and fitness for a particular purpose, or assume any legal liability or responsibility for the accuracy, completeness, or usefulness of any information provided in this spreadsheet. Users shall determine independently whether the spreadsheet content is appropriate for the use intended.</a:t>
          </a:r>
        </a:p>
        <a:p>
          <a:pPr marL="0" marR="0" lvl="0" indent="0" defTabSz="914400" eaLnBrk="1" fontAlgn="auto" latinLnBrk="0" hangingPunct="1">
            <a:lnSpc>
              <a:spcPct val="100000"/>
            </a:lnSpc>
            <a:spcBef>
              <a:spcPts val="0"/>
            </a:spcBef>
            <a:spcAft>
              <a:spcPts val="0"/>
            </a:spcAft>
            <a:buClrTx/>
            <a:buSzTx/>
            <a:buFontTx/>
            <a:buNone/>
            <a:tabLst/>
            <a:defRPr/>
          </a:pPr>
          <a:endParaRPr lang="en-US" sz="9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000">
            <a:solidFill>
              <a:schemeClr val="dk1"/>
            </a:solidFill>
            <a:effectLst/>
            <a:latin typeface="+mn-lt"/>
            <a:ea typeface="+mn-ea"/>
            <a:cs typeface="+mn-cs"/>
          </a:endParaRPr>
        </a:p>
        <a:p>
          <a:endParaRPr lang="en-US" sz="1100" kern="12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A430E-1D41-4446-9DD7-5F5C38866184}">
  <sheetPr>
    <tabColor rgb="FF0070C0"/>
  </sheetPr>
  <dimension ref="A1:T43"/>
  <sheetViews>
    <sheetView showGridLines="0" zoomScale="60" zoomScaleNormal="60" workbookViewId="0">
      <selection activeCell="E21" sqref="E21"/>
    </sheetView>
  </sheetViews>
  <sheetFormatPr baseColWidth="10" defaultColWidth="8.83203125" defaultRowHeight="13" x14ac:dyDescent="0.15"/>
  <cols>
    <col min="1" max="1" width="31.83203125" style="1" customWidth="1"/>
    <col min="2" max="2" width="20.1640625" style="1" customWidth="1"/>
    <col min="3" max="3" width="25.83203125" style="1" customWidth="1"/>
    <col min="4" max="5" width="36.83203125" style="1" customWidth="1"/>
    <col min="6" max="6" width="128" style="1" customWidth="1"/>
    <col min="7" max="7" width="74.1640625" style="1" customWidth="1"/>
    <col min="8" max="8" width="13.1640625" style="1" customWidth="1"/>
    <col min="9" max="9" width="40.5" style="1" customWidth="1"/>
    <col min="10" max="10" width="8.83203125" style="1"/>
    <col min="11" max="11" width="40.5" style="1" customWidth="1"/>
    <col min="12" max="12" width="14.83203125" style="1" customWidth="1"/>
    <col min="13" max="13" width="8.83203125" style="1"/>
    <col min="14" max="14" width="12.1640625" style="1" customWidth="1"/>
    <col min="15" max="16384" width="8.83203125" style="1"/>
  </cols>
  <sheetData>
    <row r="1" spans="1:20" s="13" customFormat="1" ht="26.25" customHeight="1" thickBot="1" x14ac:dyDescent="0.25">
      <c r="A1" s="12" t="s">
        <v>51</v>
      </c>
      <c r="B1" s="12"/>
      <c r="T1" s="14" t="s">
        <v>30</v>
      </c>
    </row>
    <row r="2" spans="1:20" s="17" customFormat="1" ht="17" thickTop="1" x14ac:dyDescent="0.2">
      <c r="A2" s="44" t="s">
        <v>95</v>
      </c>
      <c r="B2" s="15"/>
      <c r="C2" s="16"/>
      <c r="D2" s="16"/>
      <c r="E2" s="16"/>
    </row>
    <row r="3" spans="1:20" s="17" customFormat="1" ht="12.75" customHeight="1" x14ac:dyDescent="0.15">
      <c r="A3" s="10" t="s">
        <v>94</v>
      </c>
      <c r="B3" s="44"/>
      <c r="C3" s="19"/>
      <c r="D3" s="19"/>
      <c r="E3" s="19"/>
      <c r="F3" s="19"/>
      <c r="G3" s="19"/>
      <c r="H3" s="19"/>
      <c r="I3" s="19"/>
      <c r="J3" s="19"/>
      <c r="K3" s="19"/>
      <c r="L3" s="20"/>
      <c r="M3" s="20"/>
      <c r="N3" s="19"/>
      <c r="O3" s="20"/>
      <c r="P3" s="21"/>
      <c r="Q3" s="19"/>
      <c r="R3" s="21"/>
      <c r="S3" s="21"/>
      <c r="T3" s="19"/>
    </row>
    <row r="4" spans="1:20" s="17" customFormat="1" ht="12.75" customHeight="1" x14ac:dyDescent="0.15">
      <c r="A4" s="10"/>
      <c r="B4" s="10"/>
      <c r="C4" s="19"/>
      <c r="D4" s="19"/>
      <c r="E4" s="19"/>
      <c r="F4" s="19"/>
      <c r="G4" s="19"/>
      <c r="H4" s="19"/>
      <c r="I4" s="19"/>
      <c r="J4" s="19"/>
      <c r="K4" s="19"/>
      <c r="L4" s="20"/>
      <c r="M4" s="20"/>
      <c r="N4" s="19"/>
      <c r="O4" s="20"/>
      <c r="P4" s="21"/>
      <c r="Q4" s="19"/>
      <c r="R4" s="21"/>
      <c r="S4" s="21"/>
      <c r="T4" s="19"/>
    </row>
    <row r="5" spans="1:20" s="107" customFormat="1" ht="10" customHeight="1" x14ac:dyDescent="0.2">
      <c r="B5" s="108"/>
      <c r="C5" s="109"/>
      <c r="D5" s="109"/>
      <c r="E5" s="109"/>
      <c r="F5" s="109"/>
      <c r="G5" s="109"/>
      <c r="H5" s="110"/>
      <c r="I5" s="111"/>
      <c r="J5" s="111"/>
      <c r="K5" s="111"/>
      <c r="L5" s="108"/>
      <c r="M5" s="112"/>
      <c r="N5" s="108"/>
    </row>
    <row r="6" spans="1:20" ht="30" customHeight="1" x14ac:dyDescent="0.15">
      <c r="A6" s="130" t="s">
        <v>26</v>
      </c>
      <c r="B6" s="131" t="s">
        <v>23</v>
      </c>
      <c r="C6" s="132" t="s">
        <v>88</v>
      </c>
      <c r="D6" s="132" t="s">
        <v>90</v>
      </c>
      <c r="E6" s="132" t="s">
        <v>91</v>
      </c>
      <c r="F6" s="129" t="s">
        <v>22</v>
      </c>
      <c r="H6" s="7"/>
      <c r="I6" s="7"/>
      <c r="J6" s="7"/>
      <c r="K6" s="7"/>
      <c r="L6" s="7"/>
      <c r="M6" s="7"/>
      <c r="N6" s="7"/>
    </row>
    <row r="7" spans="1:20" ht="17.25" customHeight="1" x14ac:dyDescent="0.15">
      <c r="A7" s="126" t="s">
        <v>56</v>
      </c>
      <c r="B7" s="199">
        <f>'Example option'!F60</f>
        <v>1125.6989999999998</v>
      </c>
      <c r="C7" s="113" t="s">
        <v>24</v>
      </c>
      <c r="D7" s="192">
        <f>'Example option'!F70</f>
        <v>-0.49899999999979627</v>
      </c>
      <c r="E7" s="113" t="s">
        <v>24</v>
      </c>
      <c r="F7" s="7"/>
      <c r="H7" s="7"/>
      <c r="L7" s="7"/>
      <c r="M7" s="7"/>
    </row>
    <row r="8" spans="1:20" ht="17.25" customHeight="1" x14ac:dyDescent="0.15">
      <c r="A8" s="10"/>
      <c r="B8" s="115"/>
      <c r="C8" s="115"/>
      <c r="D8" s="115"/>
      <c r="E8" s="115"/>
      <c r="F8" s="7"/>
      <c r="H8" s="7"/>
      <c r="J8" s="7"/>
      <c r="K8" s="7"/>
      <c r="L8" s="7"/>
      <c r="M8" s="7"/>
    </row>
    <row r="9" spans="1:20" ht="17.25" customHeight="1" x14ac:dyDescent="0.15">
      <c r="A9" s="127" t="s">
        <v>57</v>
      </c>
      <c r="B9" s="197">
        <f>'Example option'!I60</f>
        <v>1209.5989999999997</v>
      </c>
      <c r="C9" s="116">
        <f>(B9-$B$7)</f>
        <v>83.899999999999864</v>
      </c>
      <c r="D9" s="116">
        <f>'Example option'!I70</f>
        <v>-84.39899999999966</v>
      </c>
      <c r="E9" s="116">
        <f>D9-D7</f>
        <v>-83.899999999999864</v>
      </c>
      <c r="F9" s="7"/>
      <c r="H9" s="2"/>
      <c r="I9" s="117"/>
      <c r="L9" s="7"/>
      <c r="M9" s="7"/>
    </row>
    <row r="10" spans="1:20" ht="17.25" customHeight="1" x14ac:dyDescent="0.15">
      <c r="A10" s="127" t="s">
        <v>58</v>
      </c>
      <c r="B10" s="197">
        <f>'Example option'!O60</f>
        <v>1112.5236666666667</v>
      </c>
      <c r="C10" s="116">
        <f>(B10-$B$7)</f>
        <v>-13.175333333333128</v>
      </c>
      <c r="D10" s="116">
        <f>'Example option'!O70</f>
        <v>82.676333333333332</v>
      </c>
      <c r="E10" s="116">
        <f>D10-D7</f>
        <v>83.175333333333128</v>
      </c>
      <c r="F10" s="7"/>
      <c r="H10" s="2"/>
      <c r="I10" s="117"/>
      <c r="L10" s="7"/>
      <c r="M10" s="7"/>
    </row>
    <row r="11" spans="1:20" ht="17.25" customHeight="1" x14ac:dyDescent="0.15">
      <c r="A11" s="11"/>
      <c r="B11" s="114"/>
      <c r="C11" s="114"/>
      <c r="D11" s="114"/>
      <c r="E11" s="114"/>
      <c r="F11" s="7"/>
      <c r="H11" s="6"/>
      <c r="I11" s="117"/>
      <c r="L11" s="118"/>
      <c r="M11" s="118"/>
      <c r="N11" s="118"/>
    </row>
    <row r="12" spans="1:20" ht="17.25" customHeight="1" x14ac:dyDescent="0.15">
      <c r="A12" s="128" t="s">
        <v>59</v>
      </c>
      <c r="B12" s="198">
        <f>'Example option'!L60</f>
        <v>1258.4489999999996</v>
      </c>
      <c r="C12" s="119">
        <f>(B12-$B$7)</f>
        <v>132.74999999999977</v>
      </c>
      <c r="D12" s="119">
        <f>'Example option'!L70</f>
        <v>-133.24899999999957</v>
      </c>
      <c r="E12" s="119">
        <f>D12-D7</f>
        <v>-132.74999999999977</v>
      </c>
      <c r="F12" s="193" t="s">
        <v>61</v>
      </c>
      <c r="H12" s="2"/>
      <c r="I12" s="117"/>
      <c r="L12" s="7"/>
      <c r="M12" s="7"/>
    </row>
    <row r="13" spans="1:20" ht="17.25" customHeight="1" x14ac:dyDescent="0.15">
      <c r="A13" s="128" t="s">
        <v>60</v>
      </c>
      <c r="B13" s="198">
        <f>'Example option'!R60</f>
        <v>1121.8882666666666</v>
      </c>
      <c r="C13" s="119">
        <f>(B13-$B$7)</f>
        <v>-3.8107333333332463</v>
      </c>
      <c r="D13" s="119">
        <f>'Example option'!R70</f>
        <v>-98.138266666666595</v>
      </c>
      <c r="E13" s="119">
        <f>D13-D7</f>
        <v>-97.639266666666799</v>
      </c>
      <c r="F13" s="193" t="s">
        <v>92</v>
      </c>
      <c r="H13" s="2"/>
      <c r="I13" s="120"/>
      <c r="L13" s="121"/>
      <c r="M13" s="118"/>
      <c r="N13" s="118"/>
    </row>
    <row r="14" spans="1:20" ht="17.25" customHeight="1" x14ac:dyDescent="0.15">
      <c r="C14" s="9"/>
      <c r="D14" s="9"/>
      <c r="E14" s="9"/>
      <c r="F14" s="9"/>
      <c r="H14" s="2"/>
      <c r="I14" s="120"/>
      <c r="L14" s="121"/>
      <c r="M14" s="118"/>
      <c r="N14" s="118"/>
    </row>
    <row r="15" spans="1:20" ht="17.25" customHeight="1" x14ac:dyDescent="0.15">
      <c r="H15" s="2"/>
      <c r="I15" s="117"/>
      <c r="L15" s="121"/>
      <c r="M15" s="118"/>
      <c r="N15" s="118"/>
    </row>
    <row r="16" spans="1:20" ht="17.25" customHeight="1" x14ac:dyDescent="0.15">
      <c r="H16" s="2"/>
      <c r="L16" s="121"/>
      <c r="M16" s="118"/>
      <c r="N16" s="118"/>
    </row>
    <row r="17" spans="7:16" x14ac:dyDescent="0.15">
      <c r="L17" s="121"/>
      <c r="M17" s="118"/>
      <c r="N17" s="118"/>
    </row>
    <row r="18" spans="7:16" x14ac:dyDescent="0.15">
      <c r="H18" s="122"/>
      <c r="L18" s="121"/>
      <c r="M18" s="118"/>
      <c r="N18" s="118"/>
    </row>
    <row r="19" spans="7:16" x14ac:dyDescent="0.15">
      <c r="L19" s="121"/>
      <c r="M19" s="118"/>
      <c r="N19" s="118"/>
    </row>
    <row r="20" spans="7:16" x14ac:dyDescent="0.15">
      <c r="L20" s="121"/>
      <c r="M20" s="118"/>
      <c r="N20" s="118"/>
    </row>
    <row r="21" spans="7:16" x14ac:dyDescent="0.15">
      <c r="H21" s="5"/>
    </row>
    <row r="22" spans="7:16" x14ac:dyDescent="0.15">
      <c r="I22" s="4"/>
    </row>
    <row r="23" spans="7:16" x14ac:dyDescent="0.15">
      <c r="G23" s="1" t="s">
        <v>0</v>
      </c>
    </row>
    <row r="24" spans="7:16" x14ac:dyDescent="0.15">
      <c r="H24" s="8"/>
      <c r="I24" s="8"/>
      <c r="J24" s="8"/>
      <c r="K24" s="8"/>
      <c r="L24" s="123"/>
      <c r="M24" s="123"/>
      <c r="N24" s="123"/>
    </row>
    <row r="25" spans="7:16" x14ac:dyDescent="0.15">
      <c r="H25" s="7"/>
      <c r="I25" s="7"/>
      <c r="J25" s="7"/>
      <c r="K25" s="7"/>
      <c r="L25" s="7"/>
      <c r="M25" s="7"/>
      <c r="N25" s="7"/>
    </row>
    <row r="26" spans="7:16" x14ac:dyDescent="0.15">
      <c r="H26" s="7"/>
      <c r="I26" s="7"/>
      <c r="J26" s="7"/>
      <c r="K26" s="7"/>
      <c r="L26" s="7"/>
      <c r="M26" s="7"/>
    </row>
    <row r="27" spans="7:16" x14ac:dyDescent="0.15">
      <c r="H27" s="7"/>
      <c r="L27" s="118"/>
      <c r="M27" s="118"/>
      <c r="N27" s="118"/>
      <c r="P27" s="122"/>
    </row>
    <row r="28" spans="7:16" x14ac:dyDescent="0.15">
      <c r="H28" s="7"/>
      <c r="I28" s="7"/>
      <c r="J28" s="7"/>
      <c r="K28" s="7"/>
      <c r="L28" s="7"/>
      <c r="M28" s="7"/>
    </row>
    <row r="29" spans="7:16" x14ac:dyDescent="0.15">
      <c r="H29" s="2"/>
      <c r="I29" s="117"/>
      <c r="L29" s="124"/>
      <c r="M29" s="118"/>
      <c r="N29" s="118"/>
    </row>
    <row r="30" spans="7:16" x14ac:dyDescent="0.15">
      <c r="H30" s="2"/>
      <c r="I30" s="117"/>
      <c r="L30" s="124"/>
      <c r="M30" s="118"/>
      <c r="N30" s="118"/>
    </row>
    <row r="31" spans="7:16" x14ac:dyDescent="0.15">
      <c r="H31" s="6"/>
      <c r="I31" s="117"/>
      <c r="L31" s="124"/>
      <c r="M31" s="118"/>
      <c r="N31" s="118"/>
    </row>
    <row r="32" spans="7:16" x14ac:dyDescent="0.15">
      <c r="H32" s="2"/>
      <c r="I32" s="117"/>
      <c r="L32" s="124"/>
      <c r="M32" s="118"/>
      <c r="N32" s="118"/>
    </row>
    <row r="33" spans="2:14" x14ac:dyDescent="0.15">
      <c r="H33" s="2"/>
      <c r="I33" s="120"/>
      <c r="L33" s="124"/>
      <c r="M33" s="118"/>
      <c r="N33" s="118"/>
    </row>
    <row r="34" spans="2:14" x14ac:dyDescent="0.15">
      <c r="H34" s="2"/>
      <c r="I34" s="120"/>
      <c r="L34" s="124"/>
      <c r="M34" s="118"/>
      <c r="N34" s="118"/>
    </row>
    <row r="35" spans="2:14" x14ac:dyDescent="0.15">
      <c r="H35" s="2"/>
      <c r="I35" s="117"/>
      <c r="L35" s="124"/>
      <c r="M35" s="118"/>
      <c r="N35" s="118"/>
    </row>
    <row r="36" spans="2:14" x14ac:dyDescent="0.15">
      <c r="H36" s="2"/>
      <c r="L36" s="124"/>
      <c r="M36" s="118"/>
      <c r="N36" s="118"/>
    </row>
    <row r="42" spans="2:14" ht="14" x14ac:dyDescent="0.15">
      <c r="B42" s="125"/>
    </row>
    <row r="43" spans="2:14" ht="14" x14ac:dyDescent="0.15">
      <c r="B43" s="125"/>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F6709-61CC-4EBE-983D-810619CEDCA1}">
  <sheetPr>
    <tabColor theme="4"/>
  </sheetPr>
  <dimension ref="A1:AE99"/>
  <sheetViews>
    <sheetView showGridLines="0" tabSelected="1" zoomScaleNormal="100" workbookViewId="0">
      <selection activeCell="G2" sqref="G2"/>
    </sheetView>
  </sheetViews>
  <sheetFormatPr baseColWidth="10" defaultColWidth="8.83203125" defaultRowHeight="13" x14ac:dyDescent="0.15"/>
  <cols>
    <col min="1" max="1" width="56.1640625" style="17" customWidth="1"/>
    <col min="2" max="2" width="13" style="17" customWidth="1"/>
    <col min="3" max="3" width="16.1640625" style="17" bestFit="1" customWidth="1"/>
    <col min="4" max="4" width="10.5" style="17" customWidth="1"/>
    <col min="5" max="5" width="13.5" style="17" customWidth="1"/>
    <col min="6" max="6" width="11.5" style="17" customWidth="1"/>
    <col min="7" max="7" width="10.5" style="17" customWidth="1"/>
    <col min="8" max="8" width="13.5" style="17" customWidth="1"/>
    <col min="9" max="9" width="11.5" style="17" customWidth="1"/>
    <col min="10" max="10" width="10.5" style="17" customWidth="1"/>
    <col min="11" max="11" width="13.5" style="17" customWidth="1"/>
    <col min="12" max="12" width="11.5" style="17" customWidth="1"/>
    <col min="13" max="13" width="10.5" style="17" customWidth="1"/>
    <col min="14" max="14" width="13.5" style="17" customWidth="1"/>
    <col min="15" max="15" width="11.5" style="17" customWidth="1"/>
    <col min="16" max="16" width="10.5" style="17" customWidth="1"/>
    <col min="17" max="17" width="13.5" style="17" customWidth="1"/>
    <col min="18" max="18" width="11.5" style="17" customWidth="1"/>
    <col min="19" max="19" width="31.83203125" style="17" bestFit="1" customWidth="1"/>
    <col min="20" max="24" width="8.83203125" style="17"/>
    <col min="25" max="25" width="11.83203125" style="17" bestFit="1" customWidth="1"/>
    <col min="26" max="26" width="15.1640625" style="17" bestFit="1" customWidth="1"/>
    <col min="27" max="27" width="12.1640625" style="17" bestFit="1" customWidth="1"/>
    <col min="28" max="28" width="14.83203125" style="17" bestFit="1" customWidth="1"/>
    <col min="29" max="29" width="12.5" style="17" bestFit="1" customWidth="1"/>
    <col min="30" max="30" width="10.1640625" style="17" bestFit="1" customWidth="1"/>
    <col min="31" max="31" width="13.5" style="17" bestFit="1" customWidth="1"/>
    <col min="32" max="16384" width="8.83203125" style="17"/>
  </cols>
  <sheetData>
    <row r="1" spans="1:21" s="13" customFormat="1" ht="26.25" customHeight="1" thickBot="1" x14ac:dyDescent="0.25">
      <c r="A1" s="12" t="s">
        <v>73</v>
      </c>
      <c r="B1" s="12"/>
      <c r="R1" s="14"/>
    </row>
    <row r="2" spans="1:21" ht="17" thickTop="1" x14ac:dyDescent="0.2">
      <c r="A2" s="15"/>
      <c r="B2" s="15"/>
      <c r="C2" s="16"/>
    </row>
    <row r="3" spans="1:21" ht="12.75" customHeight="1" x14ac:dyDescent="0.15">
      <c r="A3" s="44" t="s">
        <v>95</v>
      </c>
      <c r="B3" s="44"/>
      <c r="C3" s="19"/>
      <c r="D3" s="19"/>
      <c r="E3" s="19"/>
      <c r="F3" s="19"/>
      <c r="G3" s="19"/>
      <c r="H3" s="19"/>
      <c r="I3" s="19"/>
      <c r="J3" s="20"/>
      <c r="K3" s="20"/>
      <c r="L3" s="19"/>
      <c r="M3" s="20"/>
      <c r="N3" s="21"/>
      <c r="O3" s="19"/>
      <c r="P3" s="21"/>
      <c r="Q3" s="21"/>
      <c r="R3" s="19"/>
    </row>
    <row r="4" spans="1:21" ht="12.75" customHeight="1" x14ac:dyDescent="0.15">
      <c r="A4" s="10" t="s">
        <v>94</v>
      </c>
      <c r="B4" s="10"/>
      <c r="C4" s="19"/>
      <c r="D4" s="19"/>
      <c r="E4" s="19"/>
      <c r="F4" s="19"/>
      <c r="G4" s="19"/>
      <c r="H4" s="19"/>
      <c r="I4" s="19"/>
      <c r="J4" s="20"/>
      <c r="K4" s="20"/>
      <c r="L4" s="19"/>
      <c r="M4" s="20"/>
      <c r="N4" s="21"/>
      <c r="O4" s="19"/>
      <c r="P4" s="21"/>
      <c r="Q4" s="21"/>
      <c r="R4" s="19"/>
    </row>
    <row r="5" spans="1:21" ht="12.75" customHeight="1" x14ac:dyDescent="0.15">
      <c r="A5" s="194" t="s">
        <v>93</v>
      </c>
      <c r="B5" s="10"/>
      <c r="C5" s="19"/>
      <c r="D5" s="19"/>
      <c r="E5" s="19"/>
      <c r="F5" s="19"/>
      <c r="G5" s="19"/>
      <c r="H5" s="19"/>
      <c r="I5" s="19"/>
      <c r="J5" s="20"/>
      <c r="K5" s="20"/>
      <c r="L5" s="19"/>
      <c r="M5" s="20"/>
      <c r="N5" s="21"/>
      <c r="O5" s="19"/>
      <c r="P5" s="21"/>
      <c r="Q5" s="21"/>
      <c r="R5" s="19"/>
    </row>
    <row r="6" spans="1:21" ht="12.75" customHeight="1" x14ac:dyDescent="0.15">
      <c r="A6" s="10" t="s">
        <v>9</v>
      </c>
      <c r="B6" s="10"/>
      <c r="C6" s="19"/>
      <c r="D6" s="19"/>
      <c r="E6" s="19"/>
      <c r="F6" s="19"/>
      <c r="G6" s="19"/>
      <c r="H6" s="19"/>
      <c r="I6" s="19"/>
      <c r="J6" s="20"/>
      <c r="K6" s="20"/>
      <c r="L6" s="19"/>
      <c r="M6" s="20"/>
      <c r="N6" s="21"/>
      <c r="O6" s="19"/>
      <c r="P6" s="21"/>
      <c r="Q6" s="21"/>
      <c r="R6" s="19"/>
    </row>
    <row r="7" spans="1:21" x14ac:dyDescent="0.15">
      <c r="A7" s="22"/>
      <c r="B7" s="22"/>
    </row>
    <row r="8" spans="1:21" x14ac:dyDescent="0.15">
      <c r="A8" s="24" t="s">
        <v>29</v>
      </c>
      <c r="B8" s="57"/>
      <c r="C8" s="23"/>
      <c r="D8" s="25"/>
      <c r="E8" s="25"/>
      <c r="F8" s="25"/>
      <c r="G8" s="25"/>
      <c r="H8" s="25"/>
      <c r="I8" s="25"/>
      <c r="L8" s="25"/>
      <c r="O8" s="25"/>
      <c r="R8" s="25"/>
    </row>
    <row r="9" spans="1:21" x14ac:dyDescent="0.15">
      <c r="A9" s="57"/>
      <c r="B9" s="57"/>
      <c r="C9" s="23"/>
      <c r="D9" s="25"/>
      <c r="E9" s="25"/>
      <c r="F9" s="25"/>
      <c r="G9" s="25"/>
      <c r="H9" s="25"/>
      <c r="I9" s="25"/>
      <c r="L9" s="25"/>
      <c r="O9" s="25"/>
      <c r="R9" s="25"/>
    </row>
    <row r="10" spans="1:21" ht="15" x14ac:dyDescent="0.15">
      <c r="A10" s="136" t="s">
        <v>81</v>
      </c>
      <c r="B10" s="56"/>
      <c r="C10" s="31"/>
      <c r="D10" s="47" t="s">
        <v>62</v>
      </c>
      <c r="E10" s="72"/>
      <c r="F10" s="73"/>
      <c r="G10" s="71" t="s">
        <v>52</v>
      </c>
      <c r="H10" s="72"/>
      <c r="I10" s="73"/>
      <c r="J10" s="71" t="s">
        <v>53</v>
      </c>
      <c r="K10" s="72"/>
      <c r="L10" s="73"/>
      <c r="M10" s="71" t="s">
        <v>54</v>
      </c>
      <c r="N10" s="72"/>
      <c r="O10" s="73"/>
      <c r="P10" s="71" t="s">
        <v>55</v>
      </c>
      <c r="Q10" s="72"/>
      <c r="R10" s="73"/>
    </row>
    <row r="11" spans="1:21" ht="14" x14ac:dyDescent="0.15">
      <c r="A11" s="100" t="s">
        <v>72</v>
      </c>
      <c r="B11" s="100"/>
      <c r="C11" s="59"/>
      <c r="D11" s="140"/>
      <c r="E11" s="60">
        <v>204</v>
      </c>
      <c r="F11" s="59" t="s">
        <v>75</v>
      </c>
      <c r="G11" s="140"/>
      <c r="H11" s="60">
        <v>204</v>
      </c>
      <c r="I11" s="59" t="s">
        <v>75</v>
      </c>
      <c r="J11" s="140"/>
      <c r="K11" s="60">
        <v>204</v>
      </c>
      <c r="L11" s="59" t="s">
        <v>75</v>
      </c>
      <c r="M11" s="140"/>
      <c r="N11" s="60">
        <v>204</v>
      </c>
      <c r="O11" s="59" t="s">
        <v>75</v>
      </c>
      <c r="P11" s="140"/>
      <c r="Q11" s="60">
        <v>175</v>
      </c>
      <c r="R11" s="141" t="s">
        <v>75</v>
      </c>
    </row>
    <row r="12" spans="1:21" ht="14" x14ac:dyDescent="0.15">
      <c r="A12" s="100" t="s">
        <v>89</v>
      </c>
      <c r="B12" s="32"/>
      <c r="C12" s="36"/>
      <c r="D12" s="139"/>
      <c r="E12" s="60">
        <v>1.9</v>
      </c>
      <c r="F12" s="59" t="s">
        <v>74</v>
      </c>
      <c r="G12" s="139"/>
      <c r="H12" s="60">
        <v>1.9</v>
      </c>
      <c r="I12" s="59" t="s">
        <v>74</v>
      </c>
      <c r="J12" s="139"/>
      <c r="K12" s="60">
        <v>1.9</v>
      </c>
      <c r="L12" s="59" t="s">
        <v>74</v>
      </c>
      <c r="M12" s="139"/>
      <c r="N12" s="60">
        <v>3.3</v>
      </c>
      <c r="O12" s="59" t="s">
        <v>74</v>
      </c>
      <c r="P12" s="139"/>
      <c r="Q12" s="60">
        <v>2.8</v>
      </c>
      <c r="R12" s="141" t="s">
        <v>74</v>
      </c>
    </row>
    <row r="13" spans="1:21" x14ac:dyDescent="0.15">
      <c r="A13" s="100"/>
      <c r="B13" s="32"/>
      <c r="C13" s="36"/>
      <c r="D13" s="49"/>
      <c r="E13" s="27"/>
      <c r="F13" s="48"/>
      <c r="G13" s="86"/>
      <c r="H13" s="27"/>
      <c r="I13" s="48"/>
      <c r="J13" s="86"/>
      <c r="K13" s="27"/>
      <c r="L13" s="48"/>
      <c r="M13" s="86"/>
      <c r="N13" s="27"/>
      <c r="O13" s="48"/>
      <c r="P13" s="86"/>
      <c r="Q13" s="50"/>
      <c r="R13" s="142"/>
      <c r="U13" s="190"/>
    </row>
    <row r="14" spans="1:21" ht="14" x14ac:dyDescent="0.15">
      <c r="A14" s="58"/>
      <c r="B14" s="56"/>
      <c r="C14" s="31"/>
      <c r="D14" s="47" t="s">
        <v>62</v>
      </c>
      <c r="E14" s="72"/>
      <c r="F14" s="73"/>
      <c r="G14" s="71" t="s">
        <v>52</v>
      </c>
      <c r="H14" s="72"/>
      <c r="I14" s="73"/>
      <c r="J14" s="71" t="s">
        <v>53</v>
      </c>
      <c r="K14" s="72"/>
      <c r="L14" s="73"/>
      <c r="M14" s="71" t="s">
        <v>54</v>
      </c>
      <c r="N14" s="72"/>
      <c r="O14" s="73"/>
      <c r="P14" s="71" t="s">
        <v>55</v>
      </c>
      <c r="Q14" s="72"/>
      <c r="R14" s="73"/>
      <c r="S14" s="34"/>
    </row>
    <row r="15" spans="1:21" ht="28" x14ac:dyDescent="0.15">
      <c r="A15" s="134"/>
      <c r="B15" s="134"/>
      <c r="C15" s="59"/>
      <c r="D15" s="54" t="s">
        <v>13</v>
      </c>
      <c r="E15" s="55" t="s">
        <v>14</v>
      </c>
      <c r="F15" s="79" t="s">
        <v>33</v>
      </c>
      <c r="G15" s="54" t="s">
        <v>13</v>
      </c>
      <c r="H15" s="55" t="s">
        <v>14</v>
      </c>
      <c r="I15" s="79" t="s">
        <v>33</v>
      </c>
      <c r="J15" s="54" t="s">
        <v>13</v>
      </c>
      <c r="K15" s="55" t="s">
        <v>14</v>
      </c>
      <c r="L15" s="79" t="s">
        <v>33</v>
      </c>
      <c r="M15" s="54" t="s">
        <v>13</v>
      </c>
      <c r="N15" s="55" t="s">
        <v>14</v>
      </c>
      <c r="O15" s="79" t="s">
        <v>33</v>
      </c>
      <c r="P15" s="54" t="s">
        <v>13</v>
      </c>
      <c r="Q15" s="55" t="s">
        <v>14</v>
      </c>
      <c r="R15" s="79" t="s">
        <v>33</v>
      </c>
    </row>
    <row r="16" spans="1:21" ht="14" x14ac:dyDescent="0.15">
      <c r="A16" s="32" t="s">
        <v>32</v>
      </c>
      <c r="B16" s="35"/>
      <c r="C16" s="36"/>
      <c r="D16" s="49"/>
      <c r="E16" s="27"/>
      <c r="F16" s="48"/>
      <c r="G16" s="86"/>
      <c r="H16" s="27"/>
      <c r="I16" s="48"/>
      <c r="J16" s="86"/>
      <c r="K16" s="27"/>
      <c r="L16" s="48"/>
      <c r="M16" s="86"/>
      <c r="N16" s="27"/>
      <c r="O16" s="48"/>
      <c r="P16" s="86"/>
      <c r="Q16" s="50"/>
      <c r="R16" s="48"/>
    </row>
    <row r="17" spans="1:31" ht="15" x14ac:dyDescent="0.15">
      <c r="A17" s="92" t="s">
        <v>6</v>
      </c>
      <c r="B17" s="93"/>
      <c r="C17" s="94"/>
      <c r="D17" s="95"/>
      <c r="E17" s="96"/>
      <c r="F17" s="97"/>
      <c r="G17" s="98"/>
      <c r="H17" s="96"/>
      <c r="I17" s="97"/>
      <c r="J17" s="98"/>
      <c r="K17" s="96"/>
      <c r="L17" s="97"/>
      <c r="M17" s="98"/>
      <c r="N17" s="96"/>
      <c r="O17" s="97"/>
      <c r="P17" s="98"/>
      <c r="Q17" s="99"/>
      <c r="R17" s="97"/>
    </row>
    <row r="18" spans="1:31" ht="15" x14ac:dyDescent="0.2">
      <c r="A18" s="100" t="s">
        <v>21</v>
      </c>
      <c r="B18" s="32"/>
      <c r="C18" s="36"/>
      <c r="D18" s="62">
        <v>38.5</v>
      </c>
      <c r="E18" s="62">
        <v>28.3</v>
      </c>
      <c r="F18" s="3">
        <f>E18+D18</f>
        <v>66.8</v>
      </c>
      <c r="G18" s="62">
        <v>38.5</v>
      </c>
      <c r="H18" s="62">
        <v>28.3</v>
      </c>
      <c r="I18" s="3">
        <f>H18+G18</f>
        <v>66.8</v>
      </c>
      <c r="J18" s="62">
        <v>38.5</v>
      </c>
      <c r="K18" s="62">
        <v>28.3</v>
      </c>
      <c r="L18" s="3">
        <f>K18+J18</f>
        <v>66.8</v>
      </c>
      <c r="M18" s="62">
        <f>(7.1+9.7+3.7)</f>
        <v>20.499999999999996</v>
      </c>
      <c r="N18" s="62">
        <f>(5.9+6.4+2.6)</f>
        <v>14.9</v>
      </c>
      <c r="O18" s="3">
        <f>N18+M18</f>
        <v>35.4</v>
      </c>
      <c r="P18" s="62">
        <f>(7.1+9.7+3.7)</f>
        <v>20.499999999999996</v>
      </c>
      <c r="Q18" s="62">
        <f>(5.9+6.4+2.6)</f>
        <v>14.9</v>
      </c>
      <c r="R18" s="3">
        <f>Q18+P18</f>
        <v>35.4</v>
      </c>
      <c r="S18" s="195"/>
    </row>
    <row r="19" spans="1:31" ht="14" x14ac:dyDescent="0.15">
      <c r="A19" s="101" t="s">
        <v>79</v>
      </c>
      <c r="B19" s="32"/>
      <c r="D19" s="51"/>
      <c r="E19" s="52"/>
      <c r="F19" s="80"/>
      <c r="G19" s="51"/>
      <c r="H19" s="52"/>
      <c r="I19" s="80"/>
      <c r="J19" s="51"/>
      <c r="K19" s="52"/>
      <c r="L19" s="80"/>
      <c r="M19" s="51"/>
      <c r="N19" s="52"/>
      <c r="O19" s="80"/>
      <c r="P19" s="51"/>
      <c r="Q19" s="52"/>
      <c r="R19" s="80"/>
    </row>
    <row r="20" spans="1:31" ht="14" x14ac:dyDescent="0.15">
      <c r="A20" s="102" t="s">
        <v>34</v>
      </c>
      <c r="B20" s="46">
        <v>3.66</v>
      </c>
      <c r="C20" s="17" t="s">
        <v>40</v>
      </c>
      <c r="D20" s="63">
        <v>35000</v>
      </c>
      <c r="E20" s="65">
        <f>D20/1000*$B$20</f>
        <v>128.1</v>
      </c>
      <c r="F20" s="81">
        <f>E20</f>
        <v>128.1</v>
      </c>
      <c r="G20" s="63">
        <v>35000</v>
      </c>
      <c r="H20" s="65">
        <f>G20/1000*$B$20</f>
        <v>128.1</v>
      </c>
      <c r="I20" s="81">
        <f>H20</f>
        <v>128.1</v>
      </c>
      <c r="J20" s="63">
        <v>35000</v>
      </c>
      <c r="K20" s="65">
        <f>J20/1000*$B$20</f>
        <v>128.1</v>
      </c>
      <c r="L20" s="81">
        <f>K20</f>
        <v>128.1</v>
      </c>
      <c r="M20" s="63">
        <v>35000</v>
      </c>
      <c r="N20" s="65">
        <f>M20/1000*$B$20</f>
        <v>128.1</v>
      </c>
      <c r="O20" s="81">
        <f>N20</f>
        <v>128.1</v>
      </c>
      <c r="P20" s="63">
        <v>35000</v>
      </c>
      <c r="Q20" s="65">
        <f>P20/1000*$B$20</f>
        <v>128.1</v>
      </c>
      <c r="R20" s="81">
        <f>Q20</f>
        <v>128.1</v>
      </c>
    </row>
    <row r="21" spans="1:31" ht="14" x14ac:dyDescent="0.15">
      <c r="A21" s="102" t="s">
        <v>35</v>
      </c>
      <c r="B21" s="46">
        <v>0.66</v>
      </c>
      <c r="C21" s="17" t="s">
        <v>27</v>
      </c>
      <c r="D21" s="64">
        <v>187</v>
      </c>
      <c r="E21" s="66">
        <f>D21*$B$21</f>
        <v>123.42</v>
      </c>
      <c r="F21" s="81">
        <f t="shared" ref="F21:F27" si="0">E21</f>
        <v>123.42</v>
      </c>
      <c r="G21" s="64">
        <v>187</v>
      </c>
      <c r="H21" s="66">
        <f>G21*$B$21</f>
        <v>123.42</v>
      </c>
      <c r="I21" s="81">
        <f t="shared" ref="I21:I27" si="1">H21</f>
        <v>123.42</v>
      </c>
      <c r="J21" s="64">
        <v>187</v>
      </c>
      <c r="K21" s="66">
        <f>J21*$B$21</f>
        <v>123.42</v>
      </c>
      <c r="L21" s="81">
        <f t="shared" ref="L21:L27" si="2">K21</f>
        <v>123.42</v>
      </c>
      <c r="M21" s="64">
        <v>187</v>
      </c>
      <c r="N21" s="66">
        <f>M21*$B$21</f>
        <v>123.42</v>
      </c>
      <c r="O21" s="81">
        <f t="shared" ref="O21:O27" si="3">N21</f>
        <v>123.42</v>
      </c>
      <c r="P21" s="64">
        <v>187</v>
      </c>
      <c r="Q21" s="66">
        <f>P21*$B$21</f>
        <v>123.42</v>
      </c>
      <c r="R21" s="81">
        <f t="shared" ref="R21:R27" si="4">Q21</f>
        <v>123.42</v>
      </c>
    </row>
    <row r="22" spans="1:31" ht="14" x14ac:dyDescent="0.15">
      <c r="A22" s="102" t="s">
        <v>36</v>
      </c>
      <c r="B22" s="46">
        <v>0.67</v>
      </c>
      <c r="C22" s="17" t="s">
        <v>27</v>
      </c>
      <c r="D22" s="64">
        <v>77</v>
      </c>
      <c r="E22" s="66">
        <f>D22*$B$22</f>
        <v>51.59</v>
      </c>
      <c r="F22" s="81">
        <f t="shared" si="0"/>
        <v>51.59</v>
      </c>
      <c r="G22" s="64">
        <v>77</v>
      </c>
      <c r="H22" s="66">
        <f>G22*$B$22</f>
        <v>51.59</v>
      </c>
      <c r="I22" s="81">
        <f t="shared" si="1"/>
        <v>51.59</v>
      </c>
      <c r="J22" s="64">
        <v>77</v>
      </c>
      <c r="K22" s="66">
        <f>J22*$B$22</f>
        <v>51.59</v>
      </c>
      <c r="L22" s="81">
        <f t="shared" si="2"/>
        <v>51.59</v>
      </c>
      <c r="M22" s="64">
        <v>77</v>
      </c>
      <c r="N22" s="66">
        <f>M22*$B$22</f>
        <v>51.59</v>
      </c>
      <c r="O22" s="81">
        <f t="shared" si="3"/>
        <v>51.59</v>
      </c>
      <c r="P22" s="64">
        <v>77</v>
      </c>
      <c r="Q22" s="66">
        <f>P22*$B$22</f>
        <v>51.59</v>
      </c>
      <c r="R22" s="81">
        <f t="shared" si="4"/>
        <v>51.59</v>
      </c>
    </row>
    <row r="23" spans="1:31" ht="14" x14ac:dyDescent="0.15">
      <c r="A23" s="102" t="s">
        <v>37</v>
      </c>
      <c r="B23" s="46">
        <v>0.53</v>
      </c>
      <c r="C23" s="17" t="s">
        <v>27</v>
      </c>
      <c r="D23" s="64">
        <v>61</v>
      </c>
      <c r="E23" s="66">
        <f>D23*$B$23</f>
        <v>32.33</v>
      </c>
      <c r="F23" s="81">
        <f t="shared" si="0"/>
        <v>32.33</v>
      </c>
      <c r="G23" s="64">
        <v>61</v>
      </c>
      <c r="H23" s="66">
        <f>G23*$B$23</f>
        <v>32.33</v>
      </c>
      <c r="I23" s="81">
        <f t="shared" si="1"/>
        <v>32.33</v>
      </c>
      <c r="J23" s="64">
        <v>61</v>
      </c>
      <c r="K23" s="66">
        <f>J23*$B$23</f>
        <v>32.33</v>
      </c>
      <c r="L23" s="81">
        <f t="shared" si="2"/>
        <v>32.33</v>
      </c>
      <c r="M23" s="64">
        <v>61</v>
      </c>
      <c r="N23" s="66">
        <f>M23*$B$23</f>
        <v>32.33</v>
      </c>
      <c r="O23" s="81">
        <f t="shared" si="3"/>
        <v>32.33</v>
      </c>
      <c r="P23" s="64">
        <v>61</v>
      </c>
      <c r="Q23" s="66">
        <f>P23*$B$23</f>
        <v>32.33</v>
      </c>
      <c r="R23" s="81">
        <f t="shared" si="4"/>
        <v>32.33</v>
      </c>
      <c r="AA23" s="37"/>
      <c r="AB23" s="37"/>
      <c r="AC23" s="37"/>
      <c r="AD23" s="37"/>
      <c r="AE23" s="37"/>
    </row>
    <row r="24" spans="1:31" ht="14" x14ac:dyDescent="0.15">
      <c r="A24" s="102" t="s">
        <v>38</v>
      </c>
      <c r="B24" s="46">
        <v>11.05</v>
      </c>
      <c r="C24" s="17" t="s">
        <v>39</v>
      </c>
      <c r="D24" s="51"/>
      <c r="E24" s="66">
        <f>$B$24</f>
        <v>11.05</v>
      </c>
      <c r="F24" s="81">
        <f t="shared" si="0"/>
        <v>11.05</v>
      </c>
      <c r="G24" s="51"/>
      <c r="H24" s="66">
        <f>$B$24</f>
        <v>11.05</v>
      </c>
      <c r="I24" s="81">
        <f t="shared" si="1"/>
        <v>11.05</v>
      </c>
      <c r="J24" s="51"/>
      <c r="K24" s="66">
        <f>$B$24</f>
        <v>11.05</v>
      </c>
      <c r="L24" s="81">
        <f t="shared" si="2"/>
        <v>11.05</v>
      </c>
      <c r="M24" s="51"/>
      <c r="N24" s="66">
        <f>$B$24</f>
        <v>11.05</v>
      </c>
      <c r="O24" s="81">
        <f t="shared" si="3"/>
        <v>11.05</v>
      </c>
      <c r="P24" s="51"/>
      <c r="Q24" s="66">
        <f>$B$24</f>
        <v>11.05</v>
      </c>
      <c r="R24" s="81">
        <f t="shared" si="4"/>
        <v>11.05</v>
      </c>
    </row>
    <row r="25" spans="1:31" ht="14" x14ac:dyDescent="0.15">
      <c r="A25" s="138" t="s">
        <v>15</v>
      </c>
      <c r="B25" s="46">
        <v>63.15</v>
      </c>
      <c r="C25" s="17" t="s">
        <v>39</v>
      </c>
      <c r="D25" s="51"/>
      <c r="E25" s="66">
        <v>63.15</v>
      </c>
      <c r="F25" s="81">
        <f t="shared" si="0"/>
        <v>63.15</v>
      </c>
      <c r="G25" s="51"/>
      <c r="H25" s="66">
        <f>$B$25</f>
        <v>63.15</v>
      </c>
      <c r="I25" s="81">
        <f t="shared" si="1"/>
        <v>63.15</v>
      </c>
      <c r="J25" s="51"/>
      <c r="K25" s="66">
        <f>$B$25</f>
        <v>63.15</v>
      </c>
      <c r="L25" s="81">
        <f t="shared" si="2"/>
        <v>63.15</v>
      </c>
      <c r="M25" s="51"/>
      <c r="N25" s="66">
        <v>63.15</v>
      </c>
      <c r="O25" s="81">
        <f t="shared" si="3"/>
        <v>63.15</v>
      </c>
      <c r="P25" s="51"/>
      <c r="Q25" s="66">
        <v>63.15</v>
      </c>
      <c r="R25" s="81">
        <f t="shared" si="4"/>
        <v>63.15</v>
      </c>
    </row>
    <row r="26" spans="1:31" ht="14" x14ac:dyDescent="0.15">
      <c r="A26" s="103" t="s">
        <v>16</v>
      </c>
      <c r="B26" s="46">
        <v>20</v>
      </c>
      <c r="C26" s="17" t="s">
        <v>39</v>
      </c>
      <c r="D26" s="51"/>
      <c r="E26" s="66">
        <f>$B$26</f>
        <v>20</v>
      </c>
      <c r="F26" s="81">
        <f t="shared" si="0"/>
        <v>20</v>
      </c>
      <c r="G26" s="51"/>
      <c r="H26" s="66">
        <f>$B$26</f>
        <v>20</v>
      </c>
      <c r="I26" s="81">
        <f t="shared" si="1"/>
        <v>20</v>
      </c>
      <c r="J26" s="51"/>
      <c r="K26" s="66">
        <f>$B$26</f>
        <v>20</v>
      </c>
      <c r="L26" s="81">
        <f t="shared" si="2"/>
        <v>20</v>
      </c>
      <c r="M26" s="51"/>
      <c r="N26" s="66">
        <f>$B$26</f>
        <v>20</v>
      </c>
      <c r="O26" s="81">
        <f t="shared" si="3"/>
        <v>20</v>
      </c>
      <c r="P26" s="51"/>
      <c r="Q26" s="66">
        <f>$B$26</f>
        <v>20</v>
      </c>
      <c r="R26" s="81">
        <f t="shared" si="4"/>
        <v>20</v>
      </c>
    </row>
    <row r="27" spans="1:31" x14ac:dyDescent="0.15">
      <c r="A27" s="104" t="s">
        <v>5</v>
      </c>
      <c r="B27" s="46">
        <v>18.899999999999999</v>
      </c>
      <c r="C27" s="17" t="s">
        <v>39</v>
      </c>
      <c r="D27" s="51"/>
      <c r="E27" s="66">
        <f>$B$27</f>
        <v>18.899999999999999</v>
      </c>
      <c r="F27" s="81">
        <f t="shared" si="0"/>
        <v>18.899999999999999</v>
      </c>
      <c r="G27" s="51"/>
      <c r="H27" s="66">
        <f>$B$27</f>
        <v>18.899999999999999</v>
      </c>
      <c r="I27" s="81">
        <f t="shared" si="1"/>
        <v>18.899999999999999</v>
      </c>
      <c r="J27" s="51"/>
      <c r="K27" s="66">
        <f>$B$27</f>
        <v>18.899999999999999</v>
      </c>
      <c r="L27" s="81">
        <f t="shared" si="2"/>
        <v>18.899999999999999</v>
      </c>
      <c r="M27" s="51"/>
      <c r="N27" s="66">
        <f>$B$27</f>
        <v>18.899999999999999</v>
      </c>
      <c r="O27" s="81">
        <f t="shared" si="3"/>
        <v>18.899999999999999</v>
      </c>
      <c r="P27" s="51"/>
      <c r="Q27" s="66">
        <f>$B$27</f>
        <v>18.899999999999999</v>
      </c>
      <c r="R27" s="81">
        <f t="shared" si="4"/>
        <v>18.899999999999999</v>
      </c>
    </row>
    <row r="28" spans="1:31" ht="14" x14ac:dyDescent="0.15">
      <c r="A28" s="103" t="s">
        <v>41</v>
      </c>
      <c r="B28" s="46">
        <v>13.3</v>
      </c>
      <c r="C28" s="17" t="s">
        <v>39</v>
      </c>
      <c r="D28" s="51"/>
      <c r="F28" s="82">
        <f>$B$28</f>
        <v>13.3</v>
      </c>
      <c r="G28" s="51"/>
      <c r="I28" s="82">
        <f>$B$28</f>
        <v>13.3</v>
      </c>
      <c r="J28" s="51"/>
      <c r="L28" s="82">
        <f>$B$28</f>
        <v>13.3</v>
      </c>
      <c r="M28" s="51"/>
      <c r="O28" s="82">
        <f>$B$28</f>
        <v>13.3</v>
      </c>
      <c r="P28" s="51"/>
      <c r="R28" s="82">
        <f>$B$28</f>
        <v>13.3</v>
      </c>
    </row>
    <row r="29" spans="1:31" ht="14" x14ac:dyDescent="0.15">
      <c r="A29" s="103" t="s">
        <v>66</v>
      </c>
      <c r="B29" s="67">
        <v>8.5000000000000006E-2</v>
      </c>
      <c r="C29" s="17" t="s">
        <v>67</v>
      </c>
      <c r="D29" s="51"/>
      <c r="E29" s="66"/>
      <c r="F29" s="137">
        <f>(SUM(F20:F28)+E18)*$B$30/12*$B$29</f>
        <v>27.7746</v>
      </c>
      <c r="G29" s="51"/>
      <c r="H29" s="66"/>
      <c r="I29" s="137">
        <f>(SUM(I20:I28)+H18)*$B$30/12*$B$29</f>
        <v>27.7746</v>
      </c>
      <c r="J29" s="51"/>
      <c r="K29" s="66"/>
      <c r="L29" s="137">
        <f>(SUM(L20:L28)+K18)*$B$30/12*$B$29</f>
        <v>27.7746</v>
      </c>
      <c r="M29" s="51"/>
      <c r="N29" s="66"/>
      <c r="O29" s="137">
        <f>(SUM(O20:O28)+N18)*$B$30/12*$B$29</f>
        <v>27.015266666666669</v>
      </c>
      <c r="P29" s="51"/>
      <c r="Q29" s="66"/>
      <c r="R29" s="137">
        <f>(SUM(R20:R28)+Q18)*$B$30/12*$B$29</f>
        <v>27.015266666666669</v>
      </c>
    </row>
    <row r="30" spans="1:31" x14ac:dyDescent="0.15">
      <c r="A30" s="105"/>
      <c r="B30" s="135">
        <v>8</v>
      </c>
      <c r="C30" s="59" t="s">
        <v>65</v>
      </c>
      <c r="D30" s="51"/>
      <c r="E30" s="27"/>
      <c r="F30" s="48"/>
      <c r="G30" s="86"/>
      <c r="H30" s="50"/>
      <c r="I30" s="48"/>
      <c r="J30" s="86"/>
      <c r="K30" s="27"/>
      <c r="L30" s="48"/>
      <c r="M30" s="86"/>
      <c r="N30" s="50"/>
      <c r="O30" s="48"/>
      <c r="P30" s="51"/>
      <c r="Q30" s="27"/>
      <c r="R30" s="48"/>
    </row>
    <row r="31" spans="1:31" ht="14" x14ac:dyDescent="0.15">
      <c r="A31" s="100" t="s">
        <v>46</v>
      </c>
      <c r="B31" s="32"/>
      <c r="C31" s="36"/>
      <c r="D31" s="49"/>
      <c r="E31" s="27"/>
      <c r="F31" s="48"/>
      <c r="G31" s="86"/>
      <c r="H31" s="27"/>
      <c r="I31" s="48"/>
      <c r="J31" s="86"/>
      <c r="K31" s="27"/>
      <c r="L31" s="48"/>
      <c r="M31" s="86"/>
      <c r="N31" s="27"/>
      <c r="O31" s="48"/>
      <c r="P31" s="86"/>
      <c r="Q31" s="50"/>
      <c r="R31" s="48"/>
    </row>
    <row r="32" spans="1:31" ht="14" x14ac:dyDescent="0.2">
      <c r="A32" s="104" t="s">
        <v>42</v>
      </c>
      <c r="B32" s="46">
        <v>2.75</v>
      </c>
      <c r="C32" s="17" t="s">
        <v>27</v>
      </c>
      <c r="D32" s="51"/>
      <c r="E32" s="27"/>
      <c r="F32" s="48"/>
      <c r="G32" s="63">
        <v>20</v>
      </c>
      <c r="H32" s="65">
        <f>G32*B32</f>
        <v>55</v>
      </c>
      <c r="I32" s="81">
        <f>H32</f>
        <v>55</v>
      </c>
      <c r="J32" s="63">
        <v>25</v>
      </c>
      <c r="K32" s="65">
        <f>J32*B32</f>
        <v>68.75</v>
      </c>
      <c r="L32" s="81">
        <f>K32</f>
        <v>68.75</v>
      </c>
      <c r="M32" s="86"/>
      <c r="N32" s="68"/>
      <c r="O32" s="48"/>
      <c r="P32" s="87"/>
      <c r="Q32" s="50"/>
      <c r="R32" s="48"/>
    </row>
    <row r="33" spans="1:18" ht="14" x14ac:dyDescent="0.15">
      <c r="A33" s="106" t="s">
        <v>43</v>
      </c>
      <c r="B33" s="26"/>
      <c r="C33" s="33"/>
      <c r="D33" s="51"/>
      <c r="E33" s="27"/>
      <c r="F33" s="48"/>
      <c r="G33" s="62">
        <v>15</v>
      </c>
      <c r="H33" s="62">
        <v>10.1</v>
      </c>
      <c r="I33" s="3">
        <f>H33+G33</f>
        <v>25.1</v>
      </c>
      <c r="J33" s="62">
        <v>15</v>
      </c>
      <c r="K33" s="62">
        <v>10.1</v>
      </c>
      <c r="L33" s="3">
        <f>K33+J33</f>
        <v>25.1</v>
      </c>
      <c r="M33" s="86"/>
      <c r="N33" s="50"/>
      <c r="O33" s="48"/>
      <c r="P33" s="86"/>
      <c r="Q33" s="27"/>
      <c r="R33" s="48"/>
    </row>
    <row r="34" spans="1:18" ht="14" x14ac:dyDescent="0.15">
      <c r="A34" s="106" t="s">
        <v>44</v>
      </c>
      <c r="B34" s="26"/>
      <c r="C34" s="33"/>
      <c r="D34" s="51"/>
      <c r="E34" s="27"/>
      <c r="F34" s="48"/>
      <c r="G34" s="86"/>
      <c r="H34" s="27"/>
      <c r="I34" s="48"/>
      <c r="J34" s="62">
        <v>4.4000000000000004</v>
      </c>
      <c r="K34" s="62">
        <v>3.6</v>
      </c>
      <c r="L34" s="3">
        <f>K34+J34</f>
        <v>8</v>
      </c>
      <c r="M34" s="86"/>
      <c r="N34" s="50"/>
      <c r="O34" s="48"/>
      <c r="P34" s="86"/>
      <c r="Q34" s="28"/>
      <c r="R34" s="48"/>
    </row>
    <row r="35" spans="1:18" ht="15" x14ac:dyDescent="0.2">
      <c r="A35" s="106" t="s">
        <v>28</v>
      </c>
      <c r="B35" s="26"/>
      <c r="C35" s="33"/>
      <c r="D35" s="69"/>
      <c r="E35" s="27"/>
      <c r="F35" s="48"/>
      <c r="G35" s="86"/>
      <c r="H35" s="27"/>
      <c r="I35" s="48"/>
      <c r="J35" s="62">
        <v>7.6</v>
      </c>
      <c r="K35" s="62">
        <v>4.5999999999999996</v>
      </c>
      <c r="L35" s="3">
        <f>K35+J35</f>
        <v>12.2</v>
      </c>
      <c r="M35" s="86"/>
      <c r="N35" s="70"/>
      <c r="O35" s="48"/>
      <c r="P35" s="88"/>
      <c r="Q35" s="53"/>
      <c r="R35" s="48"/>
    </row>
    <row r="36" spans="1:18" ht="15" x14ac:dyDescent="0.2">
      <c r="A36" s="106" t="s">
        <v>45</v>
      </c>
      <c r="B36" s="26"/>
      <c r="C36" s="33"/>
      <c r="D36" s="69"/>
      <c r="E36" s="27"/>
      <c r="F36" s="48"/>
      <c r="G36" s="86"/>
      <c r="H36" s="27"/>
      <c r="I36" s="48"/>
      <c r="J36" s="62">
        <v>3.4</v>
      </c>
      <c r="K36" s="62">
        <v>2</v>
      </c>
      <c r="L36" s="3">
        <f>K36+J36</f>
        <v>5.4</v>
      </c>
      <c r="M36" s="86"/>
      <c r="N36" s="70"/>
      <c r="O36" s="48"/>
      <c r="P36" s="88"/>
      <c r="Q36" s="53"/>
      <c r="R36" s="48"/>
    </row>
    <row r="37" spans="1:18" ht="14" x14ac:dyDescent="0.15">
      <c r="A37" s="100" t="s">
        <v>64</v>
      </c>
      <c r="B37" s="32"/>
      <c r="C37" s="36"/>
      <c r="D37" s="49"/>
      <c r="E37" s="27"/>
      <c r="F37" s="48"/>
      <c r="G37" s="86"/>
      <c r="H37" s="27"/>
      <c r="I37" s="48"/>
      <c r="J37" s="86"/>
      <c r="K37" s="27"/>
      <c r="L37" s="48"/>
      <c r="M37" s="76" t="s">
        <v>48</v>
      </c>
      <c r="N37" s="77"/>
      <c r="O37" s="75"/>
      <c r="P37" s="74" t="s">
        <v>25</v>
      </c>
      <c r="Q37" s="90"/>
      <c r="R37" s="75"/>
    </row>
    <row r="38" spans="1:18" ht="14.25" customHeight="1" x14ac:dyDescent="0.15">
      <c r="A38" s="106" t="s">
        <v>63</v>
      </c>
      <c r="B38" s="26"/>
      <c r="C38" s="33"/>
      <c r="D38" s="69"/>
      <c r="E38" s="27"/>
      <c r="F38" s="48"/>
      <c r="G38" s="86"/>
      <c r="H38" s="27"/>
      <c r="I38" s="48"/>
      <c r="J38" s="86"/>
      <c r="K38" s="27"/>
      <c r="L38" s="48"/>
      <c r="M38" s="89">
        <v>5</v>
      </c>
      <c r="N38" s="89">
        <v>4.0999999999999996</v>
      </c>
      <c r="O38" s="3">
        <f>N38+M38</f>
        <v>9.1</v>
      </c>
      <c r="P38" s="89">
        <f>M38*2</f>
        <v>10</v>
      </c>
      <c r="Q38" s="89">
        <f>N38*2</f>
        <v>8.1999999999999993</v>
      </c>
      <c r="R38" s="3">
        <f>Q38+P38</f>
        <v>18.2</v>
      </c>
    </row>
    <row r="39" spans="1:18" x14ac:dyDescent="0.15">
      <c r="A39" s="104" t="s">
        <v>47</v>
      </c>
      <c r="B39" s="26"/>
      <c r="C39" s="33"/>
      <c r="D39" s="69"/>
      <c r="E39" s="27"/>
      <c r="F39" s="48"/>
      <c r="G39" s="86"/>
      <c r="H39" s="27"/>
      <c r="I39" s="48"/>
      <c r="J39" s="86"/>
      <c r="K39" s="27"/>
      <c r="L39" s="48"/>
      <c r="M39" s="86"/>
      <c r="N39" s="62">
        <v>0</v>
      </c>
      <c r="O39" s="3">
        <f>N39</f>
        <v>0</v>
      </c>
      <c r="P39" s="88"/>
      <c r="Q39" s="62">
        <v>11.96</v>
      </c>
      <c r="R39" s="3">
        <f>Q39</f>
        <v>11.96</v>
      </c>
    </row>
    <row r="40" spans="1:18" x14ac:dyDescent="0.15">
      <c r="A40" s="35"/>
      <c r="B40" s="35"/>
      <c r="C40" s="36"/>
      <c r="D40" s="49"/>
      <c r="E40" s="27"/>
      <c r="F40" s="48"/>
      <c r="G40" s="86"/>
      <c r="H40" s="27"/>
      <c r="I40" s="48"/>
      <c r="J40" s="86"/>
      <c r="K40" s="27"/>
      <c r="L40" s="48"/>
      <c r="M40" s="86"/>
      <c r="N40" s="50"/>
      <c r="O40" s="48"/>
      <c r="P40" s="86"/>
      <c r="Q40" s="27"/>
      <c r="R40" s="48"/>
    </row>
    <row r="41" spans="1:18" ht="15" x14ac:dyDescent="0.15">
      <c r="A41" s="92" t="s">
        <v>7</v>
      </c>
      <c r="B41" s="93"/>
      <c r="C41" s="94"/>
      <c r="D41" s="95"/>
      <c r="E41" s="96"/>
      <c r="F41" s="97"/>
      <c r="G41" s="98"/>
      <c r="H41" s="96"/>
      <c r="I41" s="97"/>
      <c r="J41" s="98"/>
      <c r="K41" s="96"/>
      <c r="L41" s="97"/>
      <c r="M41" s="98"/>
      <c r="N41" s="96"/>
      <c r="O41" s="97"/>
      <c r="P41" s="98"/>
      <c r="Q41" s="99"/>
      <c r="R41" s="97"/>
    </row>
    <row r="42" spans="1:18" ht="28" x14ac:dyDescent="0.15">
      <c r="A42" s="100" t="s">
        <v>20</v>
      </c>
      <c r="B42" s="32"/>
      <c r="C42" s="36"/>
      <c r="D42" s="139" t="s">
        <v>13</v>
      </c>
      <c r="E42" s="144" t="s">
        <v>14</v>
      </c>
      <c r="F42" s="145" t="s">
        <v>33</v>
      </c>
      <c r="G42" s="139" t="s">
        <v>13</v>
      </c>
      <c r="H42" s="144" t="s">
        <v>14</v>
      </c>
      <c r="I42" s="145" t="s">
        <v>33</v>
      </c>
      <c r="J42" s="139" t="s">
        <v>13</v>
      </c>
      <c r="K42" s="144" t="s">
        <v>14</v>
      </c>
      <c r="L42" s="145" t="s">
        <v>33</v>
      </c>
      <c r="M42" s="139" t="s">
        <v>13</v>
      </c>
      <c r="N42" s="144" t="s">
        <v>14</v>
      </c>
      <c r="O42" s="145" t="s">
        <v>33</v>
      </c>
      <c r="P42" s="139" t="s">
        <v>13</v>
      </c>
      <c r="Q42" s="144" t="s">
        <v>14</v>
      </c>
      <c r="R42" s="145" t="s">
        <v>33</v>
      </c>
    </row>
    <row r="43" spans="1:18" ht="14" x14ac:dyDescent="0.15">
      <c r="A43" s="102" t="s">
        <v>1</v>
      </c>
      <c r="B43" s="26"/>
      <c r="C43" s="33"/>
      <c r="D43" s="62">
        <v>21.5</v>
      </c>
      <c r="E43" s="62">
        <v>9</v>
      </c>
      <c r="F43" s="3">
        <f>E43+D43</f>
        <v>30.5</v>
      </c>
      <c r="G43" s="143">
        <f>D43</f>
        <v>21.5</v>
      </c>
      <c r="H43" s="143">
        <f>E43</f>
        <v>9</v>
      </c>
      <c r="I43" s="3">
        <f>H43+G43</f>
        <v>30.5</v>
      </c>
      <c r="J43" s="143">
        <f>G43</f>
        <v>21.5</v>
      </c>
      <c r="K43" s="143">
        <f>H43</f>
        <v>9</v>
      </c>
      <c r="L43" s="3">
        <f>K43+J43</f>
        <v>30.5</v>
      </c>
      <c r="M43" s="143">
        <f>J43</f>
        <v>21.5</v>
      </c>
      <c r="N43" s="143">
        <f>K43</f>
        <v>9</v>
      </c>
      <c r="O43" s="3">
        <f>N43+M43</f>
        <v>30.5</v>
      </c>
      <c r="P43" s="143">
        <f>M43</f>
        <v>21.5</v>
      </c>
      <c r="Q43" s="143">
        <f>N43</f>
        <v>9</v>
      </c>
      <c r="R43" s="3">
        <f>Q43+P43</f>
        <v>30.5</v>
      </c>
    </row>
    <row r="44" spans="1:18" ht="14" x14ac:dyDescent="0.15">
      <c r="A44" s="102" t="s">
        <v>2</v>
      </c>
      <c r="B44" s="26"/>
      <c r="C44" s="33"/>
      <c r="D44" s="62">
        <v>10.4</v>
      </c>
      <c r="E44" s="62">
        <v>3.9</v>
      </c>
      <c r="F44" s="3">
        <f>E44+D44</f>
        <v>14.3</v>
      </c>
      <c r="G44" s="143">
        <f t="shared" ref="G44:G47" si="5">D44</f>
        <v>10.4</v>
      </c>
      <c r="H44" s="143">
        <f t="shared" ref="H44:H47" si="6">E44</f>
        <v>3.9</v>
      </c>
      <c r="I44" s="3">
        <f>H44+G44</f>
        <v>14.3</v>
      </c>
      <c r="J44" s="143">
        <f t="shared" ref="J44:J47" si="7">G44</f>
        <v>10.4</v>
      </c>
      <c r="K44" s="143">
        <f t="shared" ref="K44:K47" si="8">H44</f>
        <v>3.9</v>
      </c>
      <c r="L44" s="3">
        <f>K44+J44</f>
        <v>14.3</v>
      </c>
      <c r="M44" s="143">
        <f t="shared" ref="M44:M47" si="9">J44</f>
        <v>10.4</v>
      </c>
      <c r="N44" s="143">
        <f t="shared" ref="N44:N47" si="10">K44</f>
        <v>3.9</v>
      </c>
      <c r="O44" s="3">
        <f>N44+M44</f>
        <v>14.3</v>
      </c>
      <c r="P44" s="143">
        <f t="shared" ref="P44:P47" si="11">M44</f>
        <v>10.4</v>
      </c>
      <c r="Q44" s="143">
        <f t="shared" ref="Q44:Q47" si="12">N44</f>
        <v>3.9</v>
      </c>
      <c r="R44" s="3">
        <f>Q44+P44</f>
        <v>14.3</v>
      </c>
    </row>
    <row r="45" spans="1:18" ht="14" x14ac:dyDescent="0.15">
      <c r="A45" s="102" t="s">
        <v>3</v>
      </c>
      <c r="B45" s="26"/>
      <c r="C45" s="33"/>
      <c r="D45" s="62">
        <v>7.1999999999999995E-2</v>
      </c>
      <c r="E45" s="62">
        <v>4.9000000000000002E-2</v>
      </c>
      <c r="F45" s="3">
        <f>D45*$E$11+E45*$E$11</f>
        <v>24.683999999999997</v>
      </c>
      <c r="G45" s="143">
        <f t="shared" si="5"/>
        <v>7.1999999999999995E-2</v>
      </c>
      <c r="H45" s="143">
        <f t="shared" si="6"/>
        <v>4.9000000000000002E-2</v>
      </c>
      <c r="I45" s="3">
        <f>G45*$H$11+H45*$H$11</f>
        <v>24.683999999999997</v>
      </c>
      <c r="J45" s="143">
        <f t="shared" si="7"/>
        <v>7.1999999999999995E-2</v>
      </c>
      <c r="K45" s="143">
        <f t="shared" si="8"/>
        <v>4.9000000000000002E-2</v>
      </c>
      <c r="L45" s="3">
        <f>J45*$K$11+K45*$K$11</f>
        <v>24.683999999999997</v>
      </c>
      <c r="M45" s="143">
        <f t="shared" si="9"/>
        <v>7.1999999999999995E-2</v>
      </c>
      <c r="N45" s="143">
        <f t="shared" si="10"/>
        <v>4.9000000000000002E-2</v>
      </c>
      <c r="O45" s="3">
        <f>M45*$N$11+N45*$N$11</f>
        <v>24.683999999999997</v>
      </c>
      <c r="P45" s="143">
        <f t="shared" si="11"/>
        <v>7.1999999999999995E-2</v>
      </c>
      <c r="Q45" s="143">
        <f t="shared" si="12"/>
        <v>4.9000000000000002E-2</v>
      </c>
      <c r="R45" s="3">
        <f>P45*$Q$11+Q45*$Q$11</f>
        <v>21.175000000000001</v>
      </c>
    </row>
    <row r="46" spans="1:18" ht="14" x14ac:dyDescent="0.15">
      <c r="A46" s="102" t="s">
        <v>77</v>
      </c>
      <c r="B46" s="46">
        <v>1.55</v>
      </c>
      <c r="C46" s="17" t="s">
        <v>76</v>
      </c>
      <c r="D46" s="62">
        <v>0.05</v>
      </c>
      <c r="E46" s="62">
        <f>$B$46*0.02*6</f>
        <v>0.18600000000000003</v>
      </c>
      <c r="F46" s="3">
        <f>D46*$E$11+E46*$E$11</f>
        <v>48.144000000000005</v>
      </c>
      <c r="G46" s="143">
        <f t="shared" si="5"/>
        <v>0.05</v>
      </c>
      <c r="H46" s="143">
        <f t="shared" si="6"/>
        <v>0.18600000000000003</v>
      </c>
      <c r="I46" s="3">
        <f>G46*$H$11+H46*$H$11</f>
        <v>48.144000000000005</v>
      </c>
      <c r="J46" s="143">
        <f t="shared" si="7"/>
        <v>0.05</v>
      </c>
      <c r="K46" s="143">
        <f t="shared" si="8"/>
        <v>0.18600000000000003</v>
      </c>
      <c r="L46" s="3">
        <f>J46*$K$11+K46*$K$11</f>
        <v>48.144000000000005</v>
      </c>
      <c r="M46" s="143">
        <f t="shared" si="9"/>
        <v>0.05</v>
      </c>
      <c r="N46" s="143">
        <f t="shared" si="10"/>
        <v>0.18600000000000003</v>
      </c>
      <c r="O46" s="3">
        <f>M46*$N$11+N46*$N$11</f>
        <v>48.144000000000005</v>
      </c>
      <c r="P46" s="143">
        <f t="shared" si="11"/>
        <v>0.05</v>
      </c>
      <c r="Q46" s="143">
        <f t="shared" si="12"/>
        <v>0.18600000000000003</v>
      </c>
      <c r="R46" s="3">
        <f>P46*$Q$11+Q46*$Q$11</f>
        <v>41.300000000000004</v>
      </c>
    </row>
    <row r="47" spans="1:18" ht="14" x14ac:dyDescent="0.15">
      <c r="A47" s="102" t="s">
        <v>4</v>
      </c>
      <c r="B47" s="26"/>
      <c r="C47" s="33"/>
      <c r="D47" s="62">
        <v>2.9499999999999998E-2</v>
      </c>
      <c r="E47" s="62">
        <v>2.6100000000000002E-2</v>
      </c>
      <c r="F47" s="3">
        <f>D47*$E$11+E47*$E$11</f>
        <v>11.342400000000001</v>
      </c>
      <c r="G47" s="143">
        <f t="shared" si="5"/>
        <v>2.9499999999999998E-2</v>
      </c>
      <c r="H47" s="143">
        <f t="shared" si="6"/>
        <v>2.6100000000000002E-2</v>
      </c>
      <c r="I47" s="3">
        <f>G47*$H$11+H47*$H$11</f>
        <v>11.342400000000001</v>
      </c>
      <c r="J47" s="143">
        <f t="shared" si="7"/>
        <v>2.9499999999999998E-2</v>
      </c>
      <c r="K47" s="143">
        <f t="shared" si="8"/>
        <v>2.6100000000000002E-2</v>
      </c>
      <c r="L47" s="3">
        <f>J47*$K$11+K47*$K$11</f>
        <v>11.342400000000001</v>
      </c>
      <c r="M47" s="143">
        <f t="shared" si="9"/>
        <v>2.9499999999999998E-2</v>
      </c>
      <c r="N47" s="143">
        <f t="shared" si="10"/>
        <v>2.6100000000000002E-2</v>
      </c>
      <c r="O47" s="3">
        <f>M47*$N$11+N47*$N$11</f>
        <v>11.342400000000001</v>
      </c>
      <c r="P47" s="143">
        <f t="shared" si="11"/>
        <v>2.9499999999999998E-2</v>
      </c>
      <c r="Q47" s="143">
        <f t="shared" si="12"/>
        <v>2.6100000000000002E-2</v>
      </c>
      <c r="R47" s="3">
        <f>P47*$Q$11+Q47*$Q$11</f>
        <v>9.73</v>
      </c>
    </row>
    <row r="48" spans="1:18" ht="15" x14ac:dyDescent="0.15">
      <c r="A48" s="92" t="s">
        <v>19</v>
      </c>
      <c r="B48" s="93"/>
      <c r="C48" s="94"/>
      <c r="D48" s="95"/>
      <c r="E48" s="96"/>
      <c r="F48" s="97"/>
      <c r="G48" s="98"/>
      <c r="H48" s="96"/>
      <c r="I48" s="97"/>
      <c r="J48" s="98"/>
      <c r="K48" s="96"/>
      <c r="L48" s="97"/>
      <c r="M48" s="98"/>
      <c r="N48" s="96"/>
      <c r="O48" s="97"/>
      <c r="P48" s="98"/>
      <c r="Q48" s="99"/>
      <c r="R48" s="97"/>
    </row>
    <row r="49" spans="1:19" ht="14" x14ac:dyDescent="0.15">
      <c r="A49" s="100" t="s">
        <v>80</v>
      </c>
      <c r="B49" s="32"/>
      <c r="C49" s="36"/>
      <c r="D49" s="49"/>
      <c r="E49" s="27"/>
      <c r="F49" s="48"/>
      <c r="G49" s="86"/>
      <c r="H49" s="27"/>
      <c r="I49" s="48"/>
      <c r="J49" s="86"/>
      <c r="K49" s="27"/>
      <c r="L49" s="48"/>
      <c r="M49" s="86"/>
      <c r="N49" s="50"/>
      <c r="O49" s="48"/>
      <c r="P49" s="86"/>
      <c r="Q49" s="27"/>
      <c r="R49" s="48"/>
    </row>
    <row r="50" spans="1:19" ht="14" x14ac:dyDescent="0.15">
      <c r="A50" s="102" t="s">
        <v>18</v>
      </c>
      <c r="B50" s="26"/>
      <c r="C50" s="33"/>
      <c r="D50" s="62">
        <v>8.1999999999999993</v>
      </c>
      <c r="E50" s="62">
        <v>6.4</v>
      </c>
      <c r="F50" s="3">
        <f>E50+D50</f>
        <v>14.6</v>
      </c>
      <c r="G50" s="143">
        <f>D50</f>
        <v>8.1999999999999993</v>
      </c>
      <c r="H50" s="143">
        <f>E50</f>
        <v>6.4</v>
      </c>
      <c r="I50" s="3">
        <f>H50+G50</f>
        <v>14.6</v>
      </c>
      <c r="J50" s="143">
        <f>G50</f>
        <v>8.1999999999999993</v>
      </c>
      <c r="K50" s="143">
        <f>H50</f>
        <v>6.4</v>
      </c>
      <c r="L50" s="3">
        <f>K50+J50</f>
        <v>14.6</v>
      </c>
      <c r="M50" s="143">
        <f>J50</f>
        <v>8.1999999999999993</v>
      </c>
      <c r="N50" s="143">
        <f>K50</f>
        <v>6.4</v>
      </c>
      <c r="O50" s="3">
        <f>N50+M50</f>
        <v>14.6</v>
      </c>
      <c r="P50" s="143">
        <f>M50</f>
        <v>8.1999999999999993</v>
      </c>
      <c r="Q50" s="143">
        <f>N50</f>
        <v>6.4</v>
      </c>
      <c r="R50" s="3">
        <f>Q50+P50</f>
        <v>14.6</v>
      </c>
    </row>
    <row r="51" spans="1:19" ht="14" x14ac:dyDescent="0.15">
      <c r="A51" s="102" t="s">
        <v>8</v>
      </c>
      <c r="B51" s="26"/>
      <c r="C51" s="33"/>
      <c r="D51" s="62">
        <v>5.2</v>
      </c>
      <c r="E51" s="62">
        <v>2.6</v>
      </c>
      <c r="F51" s="3">
        <f>E51+D51</f>
        <v>7.8000000000000007</v>
      </c>
      <c r="G51" s="143">
        <f t="shared" ref="G51:G53" si="13">D51</f>
        <v>5.2</v>
      </c>
      <c r="H51" s="143">
        <f t="shared" ref="H51:H53" si="14">E51</f>
        <v>2.6</v>
      </c>
      <c r="I51" s="3">
        <f>H51+G51</f>
        <v>7.8000000000000007</v>
      </c>
      <c r="J51" s="143">
        <f t="shared" ref="J51:J53" si="15">G51</f>
        <v>5.2</v>
      </c>
      <c r="K51" s="143">
        <f t="shared" ref="K51:K53" si="16">H51</f>
        <v>2.6</v>
      </c>
      <c r="L51" s="3">
        <f>K51+J51</f>
        <v>7.8000000000000007</v>
      </c>
      <c r="M51" s="143">
        <f t="shared" ref="M51:M53" si="17">J51</f>
        <v>5.2</v>
      </c>
      <c r="N51" s="143">
        <f t="shared" ref="N51:N53" si="18">K51</f>
        <v>2.6</v>
      </c>
      <c r="O51" s="3">
        <f>N51+M51</f>
        <v>7.8000000000000007</v>
      </c>
      <c r="P51" s="143">
        <f t="shared" ref="P51:P53" si="19">M51</f>
        <v>5.2</v>
      </c>
      <c r="Q51" s="143">
        <f t="shared" ref="Q51:Q53" si="20">N51</f>
        <v>2.6</v>
      </c>
      <c r="R51" s="3">
        <f>Q51+P51</f>
        <v>7.8000000000000007</v>
      </c>
    </row>
    <row r="52" spans="1:19" ht="14" x14ac:dyDescent="0.15">
      <c r="A52" s="102" t="s">
        <v>10</v>
      </c>
      <c r="B52" s="26"/>
      <c r="C52" s="33"/>
      <c r="D52" s="62">
        <v>13.4</v>
      </c>
      <c r="E52" s="62">
        <v>6.9</v>
      </c>
      <c r="F52" s="3">
        <f>E52+D52</f>
        <v>20.3</v>
      </c>
      <c r="G52" s="143">
        <f t="shared" si="13"/>
        <v>13.4</v>
      </c>
      <c r="H52" s="143">
        <f t="shared" si="14"/>
        <v>6.9</v>
      </c>
      <c r="I52" s="3">
        <f>H52+G52</f>
        <v>20.3</v>
      </c>
      <c r="J52" s="143">
        <f t="shared" si="15"/>
        <v>13.4</v>
      </c>
      <c r="K52" s="143">
        <f t="shared" si="16"/>
        <v>6.9</v>
      </c>
      <c r="L52" s="3">
        <f>K52+J52</f>
        <v>20.3</v>
      </c>
      <c r="M52" s="143">
        <f t="shared" si="17"/>
        <v>13.4</v>
      </c>
      <c r="N52" s="143">
        <f t="shared" si="18"/>
        <v>6.9</v>
      </c>
      <c r="O52" s="3">
        <f>N52+M52</f>
        <v>20.3</v>
      </c>
      <c r="P52" s="143">
        <f t="shared" si="19"/>
        <v>13.4</v>
      </c>
      <c r="Q52" s="143">
        <f t="shared" si="20"/>
        <v>6.9</v>
      </c>
      <c r="R52" s="3">
        <f>Q52+P52</f>
        <v>20.3</v>
      </c>
      <c r="S52" s="17" t="s">
        <v>0</v>
      </c>
    </row>
    <row r="53" spans="1:19" ht="14" x14ac:dyDescent="0.15">
      <c r="A53" s="102" t="s">
        <v>78</v>
      </c>
      <c r="B53" s="26"/>
      <c r="C53" s="33"/>
      <c r="D53" s="62">
        <v>3.13</v>
      </c>
      <c r="E53" s="62">
        <v>3.93</v>
      </c>
      <c r="F53" s="3">
        <f>(D53+E53)*E12</f>
        <v>13.414</v>
      </c>
      <c r="G53" s="143">
        <f t="shared" si="13"/>
        <v>3.13</v>
      </c>
      <c r="H53" s="143">
        <f t="shared" si="14"/>
        <v>3.93</v>
      </c>
      <c r="I53" s="3">
        <f>(G53+H53)*H12</f>
        <v>13.414</v>
      </c>
      <c r="J53" s="143">
        <f t="shared" si="15"/>
        <v>3.13</v>
      </c>
      <c r="K53" s="143">
        <f t="shared" si="16"/>
        <v>3.93</v>
      </c>
      <c r="L53" s="3">
        <f>(J53+K53)*K12</f>
        <v>13.414</v>
      </c>
      <c r="M53" s="143">
        <f t="shared" si="17"/>
        <v>3.13</v>
      </c>
      <c r="N53" s="143">
        <f t="shared" si="18"/>
        <v>3.93</v>
      </c>
      <c r="O53" s="3">
        <f>(M53+N53)*N12</f>
        <v>23.298000000000002</v>
      </c>
      <c r="P53" s="143">
        <f t="shared" si="19"/>
        <v>3.13</v>
      </c>
      <c r="Q53" s="143">
        <f t="shared" si="20"/>
        <v>3.93</v>
      </c>
      <c r="R53" s="3">
        <f>(P53+Q53)*Q12</f>
        <v>19.768000000000001</v>
      </c>
    </row>
    <row r="54" spans="1:19" ht="15" x14ac:dyDescent="0.15">
      <c r="A54" s="91" t="s">
        <v>12</v>
      </c>
      <c r="B54" s="32"/>
      <c r="C54" s="36"/>
      <c r="D54" s="49"/>
      <c r="E54" s="27"/>
      <c r="F54" s="48"/>
      <c r="G54" s="86"/>
      <c r="H54" s="27"/>
      <c r="I54" s="48"/>
      <c r="J54" s="86"/>
      <c r="K54" s="27"/>
      <c r="L54" s="48"/>
      <c r="M54" s="86"/>
      <c r="N54" s="50"/>
      <c r="O54" s="48"/>
      <c r="P54" s="86"/>
      <c r="Q54" s="27"/>
      <c r="R54" s="48"/>
    </row>
    <row r="55" spans="1:19" ht="14" x14ac:dyDescent="0.15">
      <c r="A55" s="61" t="s">
        <v>17</v>
      </c>
      <c r="B55" s="46">
        <v>331</v>
      </c>
      <c r="C55" s="17" t="s">
        <v>49</v>
      </c>
      <c r="D55" s="51"/>
      <c r="F55" s="82">
        <f>$B$55</f>
        <v>331</v>
      </c>
      <c r="G55" s="86"/>
      <c r="H55" s="50"/>
      <c r="I55" s="82">
        <f>$B$55</f>
        <v>331</v>
      </c>
      <c r="J55" s="86"/>
      <c r="K55" s="27"/>
      <c r="L55" s="82">
        <f>$B$55</f>
        <v>331</v>
      </c>
      <c r="M55" s="86"/>
      <c r="N55" s="50"/>
      <c r="O55" s="82">
        <f>$B$55</f>
        <v>331</v>
      </c>
      <c r="P55" s="51"/>
      <c r="Q55" s="27"/>
      <c r="R55" s="82">
        <f>$B$55</f>
        <v>331</v>
      </c>
    </row>
    <row r="56" spans="1:19" ht="15" x14ac:dyDescent="0.15">
      <c r="A56" s="91" t="s">
        <v>11</v>
      </c>
      <c r="B56" s="46">
        <v>19</v>
      </c>
      <c r="C56" s="17" t="s">
        <v>50</v>
      </c>
      <c r="D56" s="51"/>
      <c r="E56" s="78">
        <v>2.8</v>
      </c>
      <c r="F56" s="82">
        <f>E56*$B$56</f>
        <v>53.199999999999996</v>
      </c>
      <c r="G56" s="86"/>
      <c r="H56" s="78">
        <v>3</v>
      </c>
      <c r="I56" s="82">
        <f>H56*$B$56</f>
        <v>57</v>
      </c>
      <c r="J56" s="86"/>
      <c r="K56" s="78">
        <v>3.5</v>
      </c>
      <c r="L56" s="82">
        <f>K56*$B$56</f>
        <v>66.5</v>
      </c>
      <c r="M56" s="86"/>
      <c r="N56" s="78">
        <v>2.8</v>
      </c>
      <c r="O56" s="82">
        <f>N56*$B$56</f>
        <v>53.199999999999996</v>
      </c>
      <c r="P56" s="51"/>
      <c r="Q56" s="78">
        <v>3</v>
      </c>
      <c r="R56" s="82">
        <f>Q56*$B$56</f>
        <v>57</v>
      </c>
    </row>
    <row r="57" spans="1:19" x14ac:dyDescent="0.15">
      <c r="A57" s="61"/>
      <c r="B57" s="52"/>
      <c r="D57" s="51"/>
      <c r="F57" s="82"/>
      <c r="G57" s="86"/>
      <c r="I57" s="82"/>
      <c r="J57" s="86"/>
      <c r="L57" s="82"/>
      <c r="M57" s="86"/>
      <c r="O57" s="82"/>
      <c r="P57" s="51"/>
      <c r="R57" s="82"/>
    </row>
    <row r="58" spans="1:19" ht="14" x14ac:dyDescent="0.15">
      <c r="A58" s="58"/>
      <c r="B58" s="56"/>
      <c r="C58" s="31"/>
      <c r="D58" s="47" t="s">
        <v>62</v>
      </c>
      <c r="E58" s="72"/>
      <c r="F58" s="73"/>
      <c r="G58" s="71" t="s">
        <v>52</v>
      </c>
      <c r="H58" s="72"/>
      <c r="I58" s="73"/>
      <c r="J58" s="71" t="s">
        <v>53</v>
      </c>
      <c r="K58" s="72"/>
      <c r="L58" s="73"/>
      <c r="M58" s="71" t="s">
        <v>54</v>
      </c>
      <c r="N58" s="72"/>
      <c r="O58" s="73"/>
      <c r="P58" s="71" t="s">
        <v>55</v>
      </c>
      <c r="Q58" s="72"/>
      <c r="R58" s="73"/>
      <c r="S58" s="34"/>
    </row>
    <row r="59" spans="1:19" ht="28" x14ac:dyDescent="0.15">
      <c r="A59" s="85" t="s">
        <v>98</v>
      </c>
      <c r="B59" s="83"/>
      <c r="C59" s="84"/>
      <c r="D59" s="173" t="s">
        <v>13</v>
      </c>
      <c r="E59" s="174" t="s">
        <v>14</v>
      </c>
      <c r="F59" s="175" t="s">
        <v>33</v>
      </c>
      <c r="G59" s="173" t="s">
        <v>13</v>
      </c>
      <c r="H59" s="174" t="s">
        <v>14</v>
      </c>
      <c r="I59" s="175" t="s">
        <v>33</v>
      </c>
      <c r="J59" s="173" t="s">
        <v>13</v>
      </c>
      <c r="K59" s="174" t="s">
        <v>14</v>
      </c>
      <c r="L59" s="175" t="s">
        <v>33</v>
      </c>
      <c r="M59" s="173" t="s">
        <v>13</v>
      </c>
      <c r="N59" s="174" t="s">
        <v>14</v>
      </c>
      <c r="O59" s="175" t="s">
        <v>33</v>
      </c>
      <c r="P59" s="173" t="s">
        <v>13</v>
      </c>
      <c r="Q59" s="174" t="s">
        <v>14</v>
      </c>
      <c r="R59" s="175" t="s">
        <v>33</v>
      </c>
    </row>
    <row r="60" spans="1:19" ht="14" x14ac:dyDescent="0.15">
      <c r="A60" s="188" t="s">
        <v>33</v>
      </c>
      <c r="B60" s="181"/>
      <c r="C60" s="182"/>
      <c r="D60" s="183">
        <f>D18+D43+D44+D45*E11+(D46*E11)+(D47*E11)+D50+D51+D52+(D53*E12)+F55</f>
        <v>465.053</v>
      </c>
      <c r="E60" s="184">
        <f>SUM(E18:E27,F28,F29)+E43+E44+(E45*E11)+(E46*E11)+(E47*E11)+SUM(E50:E52)+(E53*E12)+F56</f>
        <v>660.64599999999984</v>
      </c>
      <c r="F60" s="185">
        <f>SUM(F18:F57)</f>
        <v>1125.6989999999998</v>
      </c>
      <c r="G60" s="183">
        <f>G18+G33+G43+G44+G45*H11+(G46*H11)+(G47*H11)+G50+G51+G52+(G53*H12)+I55</f>
        <v>480.053</v>
      </c>
      <c r="H60" s="184">
        <f>SUM(H18:H27,I28,I29)+I32+H33+H43+H44+(H45*H11)+(H46*H11)+(H47*H11)+SUM(H50:H52)+(H53*H12)+I56</f>
        <v>729.54599999999982</v>
      </c>
      <c r="I60" s="185">
        <f>SUM(I18:I57)</f>
        <v>1209.5989999999997</v>
      </c>
      <c r="J60" s="183">
        <f>J18+J33+J34+J35+J36+J43+J44+J45*K11+(J46*K11)+(J47*K11)+J50+J51+J52+(J53*K12)+L55</f>
        <v>495.45299999999997</v>
      </c>
      <c r="K60" s="184">
        <f>SUM(K18:K27,L28,L29)+L32+K33+K34+K35+K36+K43+K44+(K45*K11)+(K46*K11)+(K47*K11)+SUM(K50:K52)+(K53*K12)+L56</f>
        <v>762.99599999999987</v>
      </c>
      <c r="L60" s="185">
        <f>SUM(L18:L57)</f>
        <v>1258.4489999999996</v>
      </c>
      <c r="M60" s="183">
        <f>M18+M38+M43+M44+M45*N11+(M46*N11)+(M47*N11)+M50+M51+M52+(M53*N12)+O55</f>
        <v>456.435</v>
      </c>
      <c r="N60" s="184">
        <f>SUM(N18:N27,O28,O29)+N38+N39+N43+N44+(N45*N11)+(N46*N11)+(N47*N11)+SUM(N50:N52)+(N53*N12)+O56</f>
        <v>656.08866666666665</v>
      </c>
      <c r="O60" s="185">
        <f>SUM(O18:O57)</f>
        <v>1112.5236666666667</v>
      </c>
      <c r="P60" s="183">
        <f>P18+P38+P43+P44+P45*Q11+(P46*Q11)+(P47*Q11)+P50+P51+P52+(P53*Q12)+R55</f>
        <v>455.47649999999999</v>
      </c>
      <c r="Q60" s="184">
        <f>SUM(Q18:Q27,R28,R29)+Q38+Q39+Q43+Q44+(Q45*Q11)+(Q46*Q11)+(Q47*Q11)+SUM(Q50:Q52)+(Q53*Q12)+R56</f>
        <v>666.41176666666661</v>
      </c>
      <c r="R60" s="185">
        <f>SUM(R18:R57)</f>
        <v>1121.8882666666666</v>
      </c>
    </row>
    <row r="61" spans="1:19" ht="14" x14ac:dyDescent="0.15">
      <c r="A61" s="189" t="s">
        <v>83</v>
      </c>
      <c r="B61" s="186"/>
      <c r="C61" s="187"/>
      <c r="D61" s="176"/>
      <c r="E61" s="177"/>
      <c r="F61" s="178"/>
      <c r="G61" s="179"/>
      <c r="H61" s="177"/>
      <c r="I61" s="178">
        <f>I60-$F$60</f>
        <v>83.899999999999864</v>
      </c>
      <c r="J61" s="179"/>
      <c r="K61" s="177"/>
      <c r="L61" s="178">
        <f>L60-$F$60</f>
        <v>132.74999999999977</v>
      </c>
      <c r="M61" s="179"/>
      <c r="N61" s="180"/>
      <c r="O61" s="178">
        <f>O60-$F$60</f>
        <v>-13.175333333333128</v>
      </c>
      <c r="P61" s="179"/>
      <c r="Q61" s="177"/>
      <c r="R61" s="178">
        <f>R60-$F$60</f>
        <v>-3.8107333333332463</v>
      </c>
    </row>
    <row r="62" spans="1:19" x14ac:dyDescent="0.15">
      <c r="A62" s="29"/>
      <c r="B62" s="29"/>
      <c r="C62" s="30"/>
      <c r="D62" s="33"/>
      <c r="E62" s="27"/>
      <c r="F62" s="27"/>
      <c r="G62" s="27"/>
      <c r="H62" s="27"/>
      <c r="I62" s="27"/>
      <c r="J62" s="27"/>
      <c r="K62" s="27"/>
      <c r="L62" s="27"/>
      <c r="M62" s="27"/>
      <c r="O62" s="27"/>
      <c r="P62" s="27"/>
      <c r="Q62" s="27"/>
      <c r="R62" s="27"/>
    </row>
    <row r="63" spans="1:19" ht="15" x14ac:dyDescent="0.15">
      <c r="A63" s="146" t="s">
        <v>82</v>
      </c>
      <c r="B63" s="147"/>
      <c r="C63" s="148"/>
      <c r="D63" s="149"/>
      <c r="E63" s="150"/>
      <c r="F63" s="151"/>
      <c r="G63" s="152"/>
      <c r="H63" s="150"/>
      <c r="I63" s="151"/>
      <c r="J63" s="152"/>
      <c r="K63" s="150"/>
      <c r="L63" s="151"/>
      <c r="M63" s="152"/>
      <c r="N63" s="150"/>
      <c r="O63" s="151"/>
      <c r="P63" s="152"/>
      <c r="Q63" s="153"/>
      <c r="R63" s="151"/>
    </row>
    <row r="64" spans="1:19" ht="24.75" customHeight="1" x14ac:dyDescent="0.15">
      <c r="A64" s="154" t="s">
        <v>96</v>
      </c>
      <c r="B64" s="155"/>
      <c r="C64" s="156"/>
      <c r="D64" s="163"/>
      <c r="E64" s="168" t="s">
        <v>85</v>
      </c>
      <c r="F64" s="165" t="s">
        <v>84</v>
      </c>
      <c r="G64" s="163"/>
      <c r="H64" s="168" t="s">
        <v>85</v>
      </c>
      <c r="I64" s="165" t="s">
        <v>84</v>
      </c>
      <c r="J64" s="163"/>
      <c r="K64" s="168" t="s">
        <v>85</v>
      </c>
      <c r="L64" s="165" t="s">
        <v>84</v>
      </c>
      <c r="M64" s="163"/>
      <c r="N64" s="168" t="s">
        <v>85</v>
      </c>
      <c r="O64" s="165" t="s">
        <v>84</v>
      </c>
      <c r="P64" s="163"/>
      <c r="Q64" s="168" t="s">
        <v>85</v>
      </c>
      <c r="R64" s="165" t="s">
        <v>84</v>
      </c>
    </row>
    <row r="65" spans="1:18" x14ac:dyDescent="0.15">
      <c r="A65" s="157" t="s">
        <v>70</v>
      </c>
      <c r="B65" s="46">
        <v>5.05</v>
      </c>
      <c r="C65" s="17" t="s">
        <v>68</v>
      </c>
      <c r="D65" s="169"/>
      <c r="F65" s="170">
        <f>$B$65*E11</f>
        <v>1030.2</v>
      </c>
      <c r="G65" s="169"/>
      <c r="I65" s="170">
        <f>$B$65*H11</f>
        <v>1030.2</v>
      </c>
      <c r="J65" s="169"/>
      <c r="L65" s="170">
        <f>$B$65*K11</f>
        <v>1030.2</v>
      </c>
      <c r="M65" s="169"/>
      <c r="O65" s="170">
        <f>$B$65*N11</f>
        <v>1030.2</v>
      </c>
      <c r="P65" s="169"/>
      <c r="R65" s="170">
        <f>$B$65*Q11</f>
        <v>883.75</v>
      </c>
    </row>
    <row r="66" spans="1:18" x14ac:dyDescent="0.15">
      <c r="A66" s="157" t="s">
        <v>71</v>
      </c>
      <c r="B66" s="46">
        <v>50</v>
      </c>
      <c r="C66" s="17" t="s">
        <v>69</v>
      </c>
      <c r="D66" s="169"/>
      <c r="F66" s="170">
        <f>$B$66*E12</f>
        <v>95</v>
      </c>
      <c r="G66" s="169"/>
      <c r="I66" s="170">
        <f>$B$66*H12</f>
        <v>95</v>
      </c>
      <c r="J66" s="169"/>
      <c r="L66" s="170">
        <f>$B$66*K12</f>
        <v>95</v>
      </c>
      <c r="M66" s="169"/>
      <c r="O66" s="170">
        <f>$B$66*N12</f>
        <v>165</v>
      </c>
      <c r="P66" s="169"/>
      <c r="R66" s="170">
        <f>$B$66*Q12</f>
        <v>140</v>
      </c>
    </row>
    <row r="67" spans="1:18" x14ac:dyDescent="0.15">
      <c r="A67" s="158" t="s">
        <v>86</v>
      </c>
      <c r="B67" s="26"/>
      <c r="C67" s="33"/>
      <c r="D67" s="169"/>
      <c r="F67" s="171">
        <v>0</v>
      </c>
      <c r="G67" s="169"/>
      <c r="I67" s="171">
        <v>0</v>
      </c>
      <c r="J67" s="169"/>
      <c r="L67" s="171">
        <v>0</v>
      </c>
      <c r="M67" s="169"/>
      <c r="O67" s="171">
        <v>0</v>
      </c>
      <c r="P67" s="169"/>
      <c r="R67" s="171">
        <v>0</v>
      </c>
    </row>
    <row r="68" spans="1:18" x14ac:dyDescent="0.15">
      <c r="A68" s="158" t="s">
        <v>87</v>
      </c>
      <c r="B68" s="26"/>
      <c r="C68" s="33"/>
      <c r="D68" s="169"/>
      <c r="F68" s="172">
        <v>0</v>
      </c>
      <c r="G68" s="169"/>
      <c r="I68" s="172">
        <v>0</v>
      </c>
      <c r="J68" s="169"/>
      <c r="L68" s="172">
        <v>0</v>
      </c>
      <c r="M68" s="169"/>
      <c r="O68" s="172">
        <v>0</v>
      </c>
      <c r="P68" s="169"/>
      <c r="R68" s="172">
        <v>0</v>
      </c>
    </row>
    <row r="69" spans="1:18" x14ac:dyDescent="0.15">
      <c r="A69" s="159" t="s">
        <v>97</v>
      </c>
      <c r="B69" s="29"/>
      <c r="C69" s="30"/>
      <c r="D69" s="169"/>
      <c r="F69" s="81">
        <f>SUM(F65:F68)</f>
        <v>1125.2</v>
      </c>
      <c r="G69" s="169"/>
      <c r="I69" s="81">
        <f>SUM(I65:I68)</f>
        <v>1125.2</v>
      </c>
      <c r="J69" s="169"/>
      <c r="L69" s="81">
        <f>SUM(L65:L68)</f>
        <v>1125.2</v>
      </c>
      <c r="M69" s="169"/>
      <c r="O69" s="81">
        <f>SUM(O65:O68)</f>
        <v>1195.2</v>
      </c>
      <c r="P69" s="169"/>
      <c r="R69" s="81">
        <f>SUM(R65:R68)</f>
        <v>1023.75</v>
      </c>
    </row>
    <row r="70" spans="1:18" x14ac:dyDescent="0.15">
      <c r="A70" s="160" t="s">
        <v>90</v>
      </c>
      <c r="B70" s="161"/>
      <c r="C70" s="162"/>
      <c r="D70" s="164"/>
      <c r="E70" s="166">
        <f>F69-E60</f>
        <v>464.5540000000002</v>
      </c>
      <c r="F70" s="167">
        <f>F69-F60</f>
        <v>-0.49899999999979627</v>
      </c>
      <c r="G70" s="164"/>
      <c r="H70" s="166">
        <f>I69-H60</f>
        <v>395.65400000000022</v>
      </c>
      <c r="I70" s="167">
        <f>I69-I60</f>
        <v>-84.39899999999966</v>
      </c>
      <c r="J70" s="164"/>
      <c r="K70" s="166">
        <f>L69-K60</f>
        <v>362.20400000000018</v>
      </c>
      <c r="L70" s="167">
        <f>L69-L60</f>
        <v>-133.24899999999957</v>
      </c>
      <c r="M70" s="164"/>
      <c r="N70" s="166">
        <f>O69-N60</f>
        <v>539.11133333333339</v>
      </c>
      <c r="O70" s="167">
        <f>O69-O60</f>
        <v>82.676333333333332</v>
      </c>
      <c r="P70" s="164"/>
      <c r="Q70" s="166">
        <f>R69-Q60</f>
        <v>357.33823333333339</v>
      </c>
      <c r="R70" s="167">
        <f>R69-R60</f>
        <v>-98.138266666666595</v>
      </c>
    </row>
    <row r="71" spans="1:18" ht="12.75" customHeight="1" x14ac:dyDescent="0.15">
      <c r="F71" s="191"/>
      <c r="O71" s="191"/>
      <c r="R71" s="191"/>
    </row>
    <row r="72" spans="1:18" x14ac:dyDescent="0.15">
      <c r="A72" s="22"/>
      <c r="B72" s="22"/>
      <c r="O72" s="191"/>
    </row>
    <row r="73" spans="1:18" x14ac:dyDescent="0.15">
      <c r="A73" s="10" t="s">
        <v>31</v>
      </c>
      <c r="B73" s="10"/>
    </row>
    <row r="74" spans="1:18" x14ac:dyDescent="0.15">
      <c r="A74" s="38"/>
      <c r="B74" s="38"/>
      <c r="I74" s="191"/>
    </row>
    <row r="75" spans="1:18" x14ac:dyDescent="0.15">
      <c r="A75" s="18"/>
      <c r="B75" s="39"/>
      <c r="I75" s="191"/>
    </row>
    <row r="76" spans="1:18" x14ac:dyDescent="0.15">
      <c r="A76" s="133"/>
      <c r="B76" s="40"/>
    </row>
    <row r="77" spans="1:18" x14ac:dyDescent="0.15">
      <c r="A77" s="17" t="s">
        <v>0</v>
      </c>
      <c r="I77" s="191"/>
    </row>
    <row r="78" spans="1:18" ht="50.25" customHeight="1" x14ac:dyDescent="0.15">
      <c r="A78" s="45"/>
      <c r="B78" s="45"/>
      <c r="C78" s="41"/>
      <c r="D78" s="42"/>
      <c r="E78" s="42"/>
      <c r="F78" s="42"/>
      <c r="G78" s="42"/>
      <c r="H78" s="42"/>
      <c r="I78" s="196"/>
      <c r="J78" s="42"/>
      <c r="K78" s="42"/>
      <c r="L78" s="42"/>
      <c r="M78" s="42"/>
      <c r="N78" s="42"/>
      <c r="O78" s="42"/>
      <c r="P78" s="42"/>
      <c r="Q78" s="42"/>
      <c r="R78" s="42"/>
    </row>
    <row r="79" spans="1:18" x14ac:dyDescent="0.15">
      <c r="A79" s="41"/>
      <c r="B79" s="41"/>
      <c r="C79" s="41"/>
      <c r="D79" s="42"/>
      <c r="E79" s="42"/>
      <c r="F79" s="42"/>
      <c r="G79" s="42"/>
      <c r="H79" s="42"/>
      <c r="I79" s="42"/>
      <c r="J79" s="42"/>
      <c r="K79" s="42"/>
      <c r="L79" s="42"/>
      <c r="M79" s="42"/>
      <c r="N79" s="42"/>
      <c r="O79" s="42"/>
      <c r="P79" s="42"/>
      <c r="Q79" s="42"/>
      <c r="R79" s="42"/>
    </row>
    <row r="80" spans="1:18" x14ac:dyDescent="0.15">
      <c r="A80" s="41"/>
      <c r="B80" s="41"/>
      <c r="C80" s="41"/>
      <c r="D80" s="42"/>
      <c r="E80" s="42"/>
      <c r="F80" s="42"/>
      <c r="G80" s="42"/>
      <c r="H80" s="42"/>
      <c r="I80" s="42"/>
      <c r="J80" s="42"/>
      <c r="K80" s="42"/>
      <c r="L80" s="42"/>
      <c r="M80" s="42"/>
      <c r="N80" s="42"/>
      <c r="O80" s="42"/>
      <c r="P80" s="42"/>
      <c r="Q80" s="42"/>
      <c r="R80" s="42"/>
    </row>
    <row r="81" spans="1:3" x14ac:dyDescent="0.15">
      <c r="A81" s="41"/>
      <c r="B81" s="41"/>
      <c r="C81" s="41"/>
    </row>
    <row r="82" spans="1:3" ht="12.75" customHeight="1" x14ac:dyDescent="0.15">
      <c r="A82" s="41"/>
      <c r="B82" s="41"/>
      <c r="C82" s="41"/>
    </row>
    <row r="83" spans="1:3" x14ac:dyDescent="0.15">
      <c r="A83" s="41"/>
      <c r="B83" s="41"/>
      <c r="C83" s="41"/>
    </row>
    <row r="85" spans="1:3" x14ac:dyDescent="0.15">
      <c r="A85" s="43"/>
      <c r="B85" s="43"/>
    </row>
    <row r="97" spans="1:19" ht="12.75" customHeight="1" x14ac:dyDescent="0.15">
      <c r="C97" s="41"/>
      <c r="D97" s="41"/>
      <c r="E97" s="41"/>
      <c r="F97" s="41"/>
      <c r="G97" s="41"/>
      <c r="H97" s="41"/>
      <c r="I97" s="41"/>
      <c r="J97" s="41"/>
      <c r="K97" s="41"/>
      <c r="L97" s="41"/>
      <c r="M97" s="41"/>
      <c r="N97" s="41"/>
      <c r="O97" s="41"/>
      <c r="P97" s="41"/>
      <c r="Q97" s="41"/>
      <c r="R97" s="41"/>
      <c r="S97" s="41"/>
    </row>
    <row r="98" spans="1:19" x14ac:dyDescent="0.15">
      <c r="A98" s="41"/>
      <c r="B98" s="41"/>
      <c r="C98" s="41"/>
      <c r="D98" s="41"/>
      <c r="E98" s="41"/>
      <c r="F98" s="41"/>
      <c r="G98" s="41"/>
      <c r="H98" s="41"/>
      <c r="I98" s="41"/>
      <c r="J98" s="41"/>
      <c r="K98" s="41"/>
      <c r="L98" s="41"/>
      <c r="M98" s="41"/>
      <c r="N98" s="41"/>
      <c r="O98" s="41"/>
      <c r="P98" s="41"/>
      <c r="Q98" s="41"/>
      <c r="R98" s="41"/>
      <c r="S98" s="41"/>
    </row>
    <row r="99" spans="1:19" ht="12.75" customHeight="1" x14ac:dyDescent="0.15">
      <c r="C99" s="41"/>
      <c r="D99" s="41"/>
      <c r="E99" s="41"/>
      <c r="F99" s="41"/>
      <c r="G99" s="41"/>
      <c r="H99" s="41"/>
      <c r="I99" s="41"/>
      <c r="J99" s="41"/>
      <c r="K99" s="41"/>
      <c r="L99" s="41"/>
      <c r="M99" s="41"/>
      <c r="N99" s="41"/>
      <c r="O99" s="41"/>
      <c r="P99" s="41"/>
      <c r="Q99" s="41"/>
      <c r="R99" s="41"/>
      <c r="S99" s="41"/>
    </row>
  </sheetData>
  <pageMargins left="0.25" right="0.25" top="0.75" bottom="0.75" header="0.3" footer="0.3"/>
  <pageSetup scale="65" fitToHeight="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Summary</vt:lpstr>
      <vt:lpstr>Example option</vt:lpstr>
      <vt:lpstr>'Example option'!Print_Area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Bartel, Cynthia A [AGRON]</dc:creator>
  <cp:lastModifiedBy>Kinzel, Anne [A&amp;BE]</cp:lastModifiedBy>
  <cp:lastPrinted>2024-07-16T23:01:22Z</cp:lastPrinted>
  <dcterms:created xsi:type="dcterms:W3CDTF">2017-05-08T18:39:16Z</dcterms:created>
  <dcterms:modified xsi:type="dcterms:W3CDTF">2024-12-12T22:29:48Z</dcterms:modified>
</cp:coreProperties>
</file>